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8160"/>
  </bookViews>
  <sheets>
    <sheet name="7-11" sheetId="1" r:id="rId1"/>
    <sheet name="12-18" sheetId="4" r:id="rId2"/>
  </sheets>
  <definedNames>
    <definedName name="_xlnm.Print_Area" localSheetId="1">'12-18'!$A$1:$P$225</definedName>
    <definedName name="_xlnm.Print_Area" localSheetId="0">'7-11'!$A$1:$P$94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8" i="1"/>
  <c r="G58"/>
  <c r="F58"/>
  <c r="E58"/>
  <c r="O29"/>
  <c r="H29"/>
  <c r="G29"/>
  <c r="F29"/>
  <c r="E29"/>
  <c r="D29"/>
  <c r="D156" i="4"/>
  <c r="I156" l="1"/>
  <c r="H156"/>
  <c r="I95"/>
  <c r="K77"/>
  <c r="J77"/>
  <c r="I77"/>
  <c r="I50"/>
  <c r="G87"/>
  <c r="E87"/>
  <c r="G213"/>
  <c r="G221" s="1"/>
  <c r="E213"/>
  <c r="E221" s="1"/>
  <c r="H221"/>
  <c r="F221"/>
  <c r="G63"/>
  <c r="G67" s="1"/>
  <c r="H211"/>
  <c r="G207"/>
  <c r="E198"/>
  <c r="H193"/>
  <c r="G193"/>
  <c r="E193"/>
  <c r="G189"/>
  <c r="F189"/>
  <c r="F193" s="1"/>
  <c r="G180"/>
  <c r="F180"/>
  <c r="G179"/>
  <c r="I167"/>
  <c r="H167"/>
  <c r="H166"/>
  <c r="F160"/>
  <c r="F166" s="1"/>
  <c r="G160"/>
  <c r="G166" s="1"/>
  <c r="G152"/>
  <c r="F152"/>
  <c r="F156" s="1"/>
  <c r="F167" s="1"/>
  <c r="E152"/>
  <c r="G142"/>
  <c r="F142"/>
  <c r="E142"/>
  <c r="G135"/>
  <c r="F135"/>
  <c r="E135"/>
  <c r="O126"/>
  <c r="N126"/>
  <c r="M126"/>
  <c r="K126"/>
  <c r="J126"/>
  <c r="I126"/>
  <c r="G126"/>
  <c r="G54"/>
  <c r="I54"/>
  <c r="J54"/>
  <c r="K54"/>
  <c r="M54"/>
  <c r="N54"/>
  <c r="O54"/>
  <c r="E28"/>
  <c r="F108"/>
  <c r="F113" s="1"/>
  <c r="H113"/>
  <c r="G113"/>
  <c r="E113"/>
  <c r="E99"/>
  <c r="E103" s="1"/>
  <c r="D32"/>
  <c r="G81"/>
  <c r="G85" s="1"/>
  <c r="F81"/>
  <c r="F85" s="1"/>
  <c r="E85"/>
  <c r="H85"/>
  <c r="G71"/>
  <c r="G77" s="1"/>
  <c r="H77"/>
  <c r="F77"/>
  <c r="E77"/>
  <c r="F67"/>
  <c r="E67"/>
  <c r="G52"/>
  <c r="F52"/>
  <c r="E52"/>
  <c r="G50"/>
  <c r="F46"/>
  <c r="F50" s="1"/>
  <c r="O48"/>
  <c r="M48"/>
  <c r="L48"/>
  <c r="K48"/>
  <c r="J48"/>
  <c r="I48"/>
  <c r="H48"/>
  <c r="H50" s="1"/>
  <c r="E48"/>
  <c r="G197"/>
  <c r="E197"/>
  <c r="G89"/>
  <c r="G95" s="1"/>
  <c r="E89"/>
  <c r="G36"/>
  <c r="E37"/>
  <c r="E36"/>
  <c r="E24"/>
  <c r="G24"/>
  <c r="F19"/>
  <c r="F24" s="1"/>
  <c r="G14"/>
  <c r="F14"/>
  <c r="E14"/>
  <c r="E95" l="1"/>
  <c r="O211"/>
  <c r="N211"/>
  <c r="M211"/>
  <c r="L211"/>
  <c r="K211"/>
  <c r="J211"/>
  <c r="I211"/>
  <c r="G211"/>
  <c r="O193"/>
  <c r="N193"/>
  <c r="M193"/>
  <c r="L193"/>
  <c r="K193"/>
  <c r="J193"/>
  <c r="I193"/>
  <c r="D193"/>
  <c r="H175"/>
  <c r="G175"/>
  <c r="E166"/>
  <c r="E50"/>
  <c r="M80" i="1"/>
  <c r="G80"/>
  <c r="F80"/>
  <c r="D80"/>
  <c r="N80"/>
  <c r="L80"/>
  <c r="K80"/>
  <c r="J80"/>
  <c r="H80"/>
  <c r="E80"/>
  <c r="I80" l="1"/>
  <c r="O80"/>
  <c r="F211" i="4" l="1"/>
  <c r="E211"/>
  <c r="D204"/>
  <c r="H203"/>
  <c r="G203"/>
  <c r="F203"/>
  <c r="F204" s="1"/>
  <c r="E203"/>
  <c r="F185"/>
  <c r="G185"/>
  <c r="G186" s="1"/>
  <c r="F175"/>
  <c r="E175"/>
  <c r="G156"/>
  <c r="G167" s="1"/>
  <c r="E156"/>
  <c r="E167" s="1"/>
  <c r="E148"/>
  <c r="F148"/>
  <c r="G148"/>
  <c r="H148"/>
  <c r="H139"/>
  <c r="G139"/>
  <c r="F139"/>
  <c r="E139"/>
  <c r="H131"/>
  <c r="G131"/>
  <c r="F131"/>
  <c r="E131"/>
  <c r="H122"/>
  <c r="G122"/>
  <c r="F122"/>
  <c r="E122"/>
  <c r="H103"/>
  <c r="G103"/>
  <c r="F103"/>
  <c r="E96"/>
  <c r="F95"/>
  <c r="H95"/>
  <c r="E78"/>
  <c r="O67"/>
  <c r="E42"/>
  <c r="H42"/>
  <c r="H32"/>
  <c r="G36" i="1"/>
  <c r="E36"/>
  <c r="F21"/>
  <c r="I65"/>
  <c r="G73"/>
  <c r="H73"/>
  <c r="F73"/>
  <c r="E73"/>
  <c r="H65"/>
  <c r="O65"/>
  <c r="N65"/>
  <c r="M65"/>
  <c r="L65"/>
  <c r="K65"/>
  <c r="J65"/>
  <c r="G65"/>
  <c r="F65"/>
  <c r="E65"/>
  <c r="O50"/>
  <c r="N50"/>
  <c r="M50"/>
  <c r="L50"/>
  <c r="K50"/>
  <c r="J50"/>
  <c r="I50"/>
  <c r="H50"/>
  <c r="G50"/>
  <c r="F50"/>
  <c r="E50"/>
  <c r="F42"/>
  <c r="F36"/>
  <c r="H36"/>
  <c r="H21"/>
  <c r="H149" i="4" l="1"/>
  <c r="E149"/>
  <c r="G132"/>
  <c r="E132"/>
  <c r="F186"/>
  <c r="H204"/>
  <c r="F132"/>
  <c r="E204"/>
  <c r="G96"/>
  <c r="H132"/>
  <c r="F149"/>
  <c r="G149"/>
  <c r="G204"/>
  <c r="D85"/>
  <c r="D96" s="1"/>
  <c r="H96"/>
  <c r="I85"/>
  <c r="I96" s="1"/>
  <c r="J85"/>
  <c r="J96" s="1"/>
  <c r="K85"/>
  <c r="K96" s="1"/>
  <c r="L85"/>
  <c r="L96" s="1"/>
  <c r="M85"/>
  <c r="N85"/>
  <c r="O85"/>
  <c r="M95"/>
  <c r="N95"/>
  <c r="O95"/>
  <c r="F96"/>
  <c r="O96" l="1"/>
  <c r="N96"/>
  <c r="M96"/>
  <c r="J73" i="1" l="1"/>
  <c r="M166" i="4"/>
  <c r="M167" s="1"/>
  <c r="M77"/>
  <c r="N166" l="1"/>
  <c r="O166"/>
  <c r="J156"/>
  <c r="J167" s="1"/>
  <c r="K156"/>
  <c r="K167" s="1"/>
  <c r="L156"/>
  <c r="L167" s="1"/>
  <c r="N156"/>
  <c r="I139"/>
  <c r="J139"/>
  <c r="K139"/>
  <c r="L139"/>
  <c r="M139"/>
  <c r="N139"/>
  <c r="O139"/>
  <c r="O131"/>
  <c r="N131"/>
  <c r="M131"/>
  <c r="L131"/>
  <c r="K131"/>
  <c r="J131"/>
  <c r="I131"/>
  <c r="I122"/>
  <c r="J122"/>
  <c r="K122"/>
  <c r="L122"/>
  <c r="M122"/>
  <c r="N122"/>
  <c r="O122"/>
  <c r="N175"/>
  <c r="O175"/>
  <c r="E32"/>
  <c r="E43" s="1"/>
  <c r="F32"/>
  <c r="G32"/>
  <c r="I32"/>
  <c r="J32"/>
  <c r="K32"/>
  <c r="L32"/>
  <c r="M32"/>
  <c r="N32"/>
  <c r="O32"/>
  <c r="N103"/>
  <c r="O103"/>
  <c r="F78"/>
  <c r="G78"/>
  <c r="H67"/>
  <c r="H78" s="1"/>
  <c r="I67"/>
  <c r="I78" s="1"/>
  <c r="J67"/>
  <c r="J78" s="1"/>
  <c r="K67"/>
  <c r="K78" s="1"/>
  <c r="L67"/>
  <c r="L78" s="1"/>
  <c r="M67"/>
  <c r="M78" s="1"/>
  <c r="N67"/>
  <c r="N78" s="1"/>
  <c r="O78"/>
  <c r="D222"/>
  <c r="O221"/>
  <c r="N221"/>
  <c r="N222" s="1"/>
  <c r="M221"/>
  <c r="M222" s="1"/>
  <c r="L221"/>
  <c r="L222" s="1"/>
  <c r="K221"/>
  <c r="K222" s="1"/>
  <c r="J221"/>
  <c r="J222" s="1"/>
  <c r="I221"/>
  <c r="I222" s="1"/>
  <c r="G222"/>
  <c r="G223" s="1"/>
  <c r="F222"/>
  <c r="F223" s="1"/>
  <c r="E222"/>
  <c r="O203"/>
  <c r="O204" s="1"/>
  <c r="N203"/>
  <c r="N204" s="1"/>
  <c r="M203"/>
  <c r="L203"/>
  <c r="L204" s="1"/>
  <c r="K203"/>
  <c r="K204" s="1"/>
  <c r="J203"/>
  <c r="J204" s="1"/>
  <c r="I203"/>
  <c r="I204" s="1"/>
  <c r="D148"/>
  <c r="O141"/>
  <c r="O148" s="1"/>
  <c r="N141"/>
  <c r="N148" s="1"/>
  <c r="M141"/>
  <c r="M148" s="1"/>
  <c r="L141"/>
  <c r="L148" s="1"/>
  <c r="K141"/>
  <c r="K148" s="1"/>
  <c r="J141"/>
  <c r="J148" s="1"/>
  <c r="I141"/>
  <c r="I148" s="1"/>
  <c r="E25"/>
  <c r="H24"/>
  <c r="I24"/>
  <c r="J24"/>
  <c r="K24"/>
  <c r="L24"/>
  <c r="M24"/>
  <c r="N24"/>
  <c r="O24"/>
  <c r="M103"/>
  <c r="L103"/>
  <c r="K103"/>
  <c r="J103"/>
  <c r="I103"/>
  <c r="D103"/>
  <c r="D114" s="1"/>
  <c r="I113"/>
  <c r="J113"/>
  <c r="K113"/>
  <c r="L113"/>
  <c r="M113"/>
  <c r="N113"/>
  <c r="O113"/>
  <c r="D78"/>
  <c r="G42"/>
  <c r="F42"/>
  <c r="D24"/>
  <c r="O14"/>
  <c r="N14"/>
  <c r="M14"/>
  <c r="L14"/>
  <c r="K14"/>
  <c r="J14"/>
  <c r="I14"/>
  <c r="H14"/>
  <c r="M204" l="1"/>
  <c r="I149"/>
  <c r="M149"/>
  <c r="H222"/>
  <c r="I132"/>
  <c r="M132"/>
  <c r="K132"/>
  <c r="J149"/>
  <c r="N149"/>
  <c r="N132"/>
  <c r="L132"/>
  <c r="J132"/>
  <c r="O132"/>
  <c r="F25"/>
  <c r="O149"/>
  <c r="O222"/>
  <c r="L114"/>
  <c r="H114"/>
  <c r="L149"/>
  <c r="K149"/>
  <c r="J25"/>
  <c r="O25"/>
  <c r="K25"/>
  <c r="G25"/>
  <c r="O114"/>
  <c r="K114"/>
  <c r="G114"/>
  <c r="N25"/>
  <c r="J114"/>
  <c r="F114"/>
  <c r="M25"/>
  <c r="I25"/>
  <c r="M114"/>
  <c r="I114"/>
  <c r="E114"/>
  <c r="L25"/>
  <c r="H25"/>
  <c r="N114"/>
  <c r="K73" i="1" l="1"/>
  <c r="O36" l="1"/>
  <c r="N36"/>
  <c r="M36"/>
  <c r="L36"/>
  <c r="K36"/>
  <c r="J36"/>
  <c r="I36"/>
  <c r="D36"/>
  <c r="H43" i="4"/>
  <c r="F43"/>
  <c r="D42"/>
  <c r="D43" s="1"/>
  <c r="G43"/>
  <c r="I42"/>
  <c r="I43" s="1"/>
  <c r="J42"/>
  <c r="J43" s="1"/>
  <c r="K42"/>
  <c r="K43" s="1"/>
  <c r="L42"/>
  <c r="L43" s="1"/>
  <c r="M42"/>
  <c r="M43" s="1"/>
  <c r="N42"/>
  <c r="N43" s="1"/>
  <c r="O42"/>
  <c r="O43" s="1"/>
  <c r="O185" l="1"/>
  <c r="O186" s="1"/>
  <c r="O223" s="1"/>
  <c r="N185"/>
  <c r="N186" s="1"/>
  <c r="N223" s="1"/>
  <c r="M185"/>
  <c r="M186" s="1"/>
  <c r="M223" s="1"/>
  <c r="L185"/>
  <c r="L186" s="1"/>
  <c r="L223" s="1"/>
  <c r="K185"/>
  <c r="K186" s="1"/>
  <c r="K223" s="1"/>
  <c r="J185"/>
  <c r="J186" s="1"/>
  <c r="J223" s="1"/>
  <c r="I185"/>
  <c r="I186" s="1"/>
  <c r="I223" s="1"/>
  <c r="H185"/>
  <c r="H186" s="1"/>
  <c r="H223" s="1"/>
  <c r="E185"/>
  <c r="E186" s="1"/>
  <c r="E223" s="1"/>
  <c r="D185"/>
  <c r="D186" s="1"/>
  <c r="D223" s="1"/>
  <c r="N55" l="1"/>
  <c r="M55"/>
  <c r="L55"/>
  <c r="K55"/>
  <c r="J55"/>
  <c r="I55"/>
  <c r="H55"/>
  <c r="G55"/>
  <c r="F55"/>
  <c r="E55"/>
  <c r="O53"/>
  <c r="D59" l="1"/>
  <c r="J59"/>
  <c r="H59"/>
  <c r="G59"/>
  <c r="F59"/>
  <c r="E59"/>
  <c r="O59"/>
  <c r="M52"/>
  <c r="L52"/>
  <c r="L59" s="1"/>
  <c r="E60" l="1"/>
  <c r="E115" s="1"/>
  <c r="M59"/>
  <c r="M60" s="1"/>
  <c r="F60"/>
  <c r="F115" s="1"/>
  <c r="J60"/>
  <c r="J115" s="1"/>
  <c r="I59"/>
  <c r="I60" s="1"/>
  <c r="I115" s="1"/>
  <c r="N59"/>
  <c r="N60" s="1"/>
  <c r="N115" s="1"/>
  <c r="D60"/>
  <c r="D115" s="1"/>
  <c r="G60"/>
  <c r="G115" s="1"/>
  <c r="K59"/>
  <c r="O60"/>
  <c r="O115" s="1"/>
  <c r="H60"/>
  <c r="H115" s="1"/>
  <c r="L60"/>
  <c r="L115" s="1"/>
  <c r="G21" i="1"/>
  <c r="E21"/>
  <c r="K60" i="4" l="1"/>
  <c r="K115" s="1"/>
  <c r="M42" i="1" l="1"/>
  <c r="D42"/>
  <c r="O42"/>
  <c r="N29" l="1"/>
  <c r="M29"/>
  <c r="L29"/>
  <c r="K29"/>
  <c r="J29"/>
  <c r="I29"/>
  <c r="N42"/>
  <c r="L42"/>
  <c r="K42"/>
  <c r="J42"/>
  <c r="I42"/>
  <c r="H42"/>
  <c r="G42"/>
  <c r="E42"/>
  <c r="N21" l="1"/>
  <c r="O21"/>
  <c r="D21"/>
  <c r="M21"/>
  <c r="L21"/>
  <c r="K21"/>
  <c r="J21"/>
  <c r="I21"/>
</calcChain>
</file>

<file path=xl/sharedStrings.xml><?xml version="1.0" encoding="utf-8"?>
<sst xmlns="http://schemas.openxmlformats.org/spreadsheetml/2006/main" count="438" uniqueCount="135">
  <si>
    <t>Каша вязкая молочная из овсяных хлопьев «Геркулес» с маслом сливочным</t>
  </si>
  <si>
    <t>Б</t>
  </si>
  <si>
    <t>Ж</t>
  </si>
  <si>
    <t>У</t>
  </si>
  <si>
    <t>ЭЦ</t>
  </si>
  <si>
    <t>Ca</t>
  </si>
  <si>
    <t>Mg</t>
  </si>
  <si>
    <t>Fe</t>
  </si>
  <si>
    <t>P</t>
  </si>
  <si>
    <t>B1</t>
  </si>
  <si>
    <t>C</t>
  </si>
  <si>
    <t>A</t>
  </si>
  <si>
    <t>Сыр (порциями)</t>
  </si>
  <si>
    <t>Батон пшеничный в/с</t>
  </si>
  <si>
    <t>Чай с сахаром</t>
  </si>
  <si>
    <t>Яблоко</t>
  </si>
  <si>
    <t>Итого:</t>
  </si>
  <si>
    <t>Кура отварная</t>
  </si>
  <si>
    <t>Печень по-Строгановски</t>
  </si>
  <si>
    <t>Греча отварная рассыпчатая</t>
  </si>
  <si>
    <t>Томаты свежие порционно</t>
  </si>
  <si>
    <t>Хлеб пшеничный</t>
  </si>
  <si>
    <t>Хлеб ржано-пшеничный</t>
  </si>
  <si>
    <t>Компот из смеси сухофруктов</t>
  </si>
  <si>
    <t>Итого за день:</t>
  </si>
  <si>
    <t>Понедельник Первая неделя</t>
  </si>
  <si>
    <t>Чай с сахаром и лимоном</t>
  </si>
  <si>
    <t>Напиток кофейный на молоке</t>
  </si>
  <si>
    <t>Рис отварной</t>
  </si>
  <si>
    <t>Джем/Повидло</t>
  </si>
  <si>
    <t xml:space="preserve">Суп картофельный с макаронными изделиями </t>
  </si>
  <si>
    <t>Котлеты, биточки, шницели с соусом №332</t>
  </si>
  <si>
    <t xml:space="preserve">Салат из белокочанной капусты </t>
  </si>
  <si>
    <t>Запеканка творожная с соусом молочным сладким № 327</t>
  </si>
  <si>
    <t>Вторник Первая неделя</t>
  </si>
  <si>
    <t>Каша молочная из риса и пшена «Дружба» с маслом сливочным</t>
  </si>
  <si>
    <t xml:space="preserve">Напиток из плодов шиповника </t>
  </si>
  <si>
    <t>Борщ с капустой и картофелем</t>
  </si>
  <si>
    <t>Тефтели из куры в соусе №331</t>
  </si>
  <si>
    <t>Макаронные изделия отварные</t>
  </si>
  <si>
    <t>Салат из моркови с яблоками</t>
  </si>
  <si>
    <t>Среда Первая неделя</t>
  </si>
  <si>
    <t>Каша молочная жидкая из гречневой крупы с маслом сливочным</t>
  </si>
  <si>
    <t>Печенье затяжное</t>
  </si>
  <si>
    <t>Рассольник Ленинградский со сметаной</t>
  </si>
  <si>
    <t>Котлета рыбная (минтай) с соусом №326</t>
  </si>
  <si>
    <t>Пюре картофельное</t>
  </si>
  <si>
    <t>Салат из квашеной капусты</t>
  </si>
  <si>
    <t>Четверг Первая неделя</t>
  </si>
  <si>
    <t>Каша молочная жидкая из манной крупы с маслом</t>
  </si>
  <si>
    <t>Какао на молоке</t>
  </si>
  <si>
    <t xml:space="preserve">Суп из овощей </t>
  </si>
  <si>
    <t>Капуста тушеная</t>
  </si>
  <si>
    <t>Салат из отварной свеклы</t>
  </si>
  <si>
    <t>Компот из свежих яблок</t>
  </si>
  <si>
    <t>Пятница Первая неделя</t>
  </si>
  <si>
    <t>Яйцо вареное</t>
  </si>
  <si>
    <t>Каша вязкая молочная из пшенной крупы с маслом</t>
  </si>
  <si>
    <t>Суп картофельный с бобовыми</t>
  </si>
  <si>
    <t>Плов из птицы</t>
  </si>
  <si>
    <t>Салат витаминный (2 вариант)</t>
  </si>
  <si>
    <t>Понедельник Вторая неделя</t>
  </si>
  <si>
    <t>Запеканка рисовая с творогом и с соусом молочным сладким № 327</t>
  </si>
  <si>
    <t>Апельсин</t>
  </si>
  <si>
    <t>Салат из соленых огурцов</t>
  </si>
  <si>
    <t>Борщ Сибирский со сметаной</t>
  </si>
  <si>
    <t>Вторник Вторая неделя</t>
  </si>
  <si>
    <t>Каша вязкая молочная рисовая с маслом</t>
  </si>
  <si>
    <t>Суп картофельный</t>
  </si>
  <si>
    <t>Рыба отварная</t>
  </si>
  <si>
    <t>Напиток цитрусовый</t>
  </si>
  <si>
    <t>Среда Вторая неделя</t>
  </si>
  <si>
    <t>Щи из квашеной капусты с картофелем и сметаной</t>
  </si>
  <si>
    <t>Бефстроганов из куры</t>
  </si>
  <si>
    <t>Салат из зеленого горошка</t>
  </si>
  <si>
    <t>Четверг Вторая неделя</t>
  </si>
  <si>
    <t>Картофель отварной с маслом растительным</t>
  </si>
  <si>
    <t>Пятница Вторая неделя</t>
  </si>
  <si>
    <t>Среднее значение за 10 дней:</t>
  </si>
  <si>
    <t>Бутерброд с сыром</t>
  </si>
  <si>
    <t>к/к</t>
  </si>
  <si>
    <t>Технологическая и нормативная документация/сборник рецептур</t>
  </si>
  <si>
    <t>Наименование</t>
  </si>
  <si>
    <t>Выход         в гр.</t>
  </si>
  <si>
    <t>Пищевая ценность</t>
  </si>
  <si>
    <t>Минеральные вещества</t>
  </si>
  <si>
    <t>Витамины</t>
  </si>
  <si>
    <t>223/327</t>
  </si>
  <si>
    <t>268/332</t>
  </si>
  <si>
    <t>239/326</t>
  </si>
  <si>
    <t>Завтрак</t>
  </si>
  <si>
    <t>Обед</t>
  </si>
  <si>
    <t>297/331</t>
  </si>
  <si>
    <t>Заврак</t>
  </si>
  <si>
    <t>Среднее значение за неделю:</t>
  </si>
  <si>
    <t>Суббота Первая неделя</t>
  </si>
  <si>
    <t>Бутерброд с джемом</t>
  </si>
  <si>
    <t>Суббота Вторая неделя</t>
  </si>
  <si>
    <t>Среднее значение за 12 дней:</t>
  </si>
  <si>
    <t>№
рецептур или 
технологической 
карты</t>
  </si>
  <si>
    <r>
      <t xml:space="preserve">Примерное меню приготовляемых блюд для обеспечения питания (завтрак, обед) обучающихся                                                                             </t>
    </r>
    <r>
      <rPr>
        <b/>
        <sz val="18"/>
        <color theme="1"/>
        <rFont val="Times New Roman"/>
        <family val="1"/>
        <charset val="204"/>
      </rPr>
      <t>с 12 лет и старше</t>
    </r>
    <r>
      <rPr>
        <b/>
        <sz val="16"/>
        <color theme="1"/>
        <rFont val="Times New Roman"/>
        <family val="1"/>
        <charset val="204"/>
      </rPr>
      <t xml:space="preserve"> в образовательных учреждениях г. Выборга и Выборгского района Ленинградской области</t>
    </r>
  </si>
  <si>
    <t xml:space="preserve">Источник рецептуры:Сборник рецептур на продукцию для обучающихся во всех образовательных учреждениях / Под ред. М.П. Могильного и В.А. Тутельяна. - М.: ДеЛи плюс, 2017. - 544 с.
</t>
  </si>
  <si>
    <t xml:space="preserve">  </t>
  </si>
  <si>
    <r>
      <t xml:space="preserve">Примерное меню приготовляемых блюд для обеспечения питания (завтрак) обучающихся  МБОУ ТАВРЕНЬГСКАЯ СШ                                                                           </t>
    </r>
    <r>
      <rPr>
        <b/>
        <sz val="18"/>
        <color theme="1"/>
        <rFont val="Times New Roman"/>
        <family val="1"/>
        <charset val="204"/>
      </rPr>
      <t>с 7 до 11 лет</t>
    </r>
    <r>
      <rPr>
        <b/>
        <sz val="16"/>
        <color theme="1"/>
        <rFont val="Times New Roman"/>
        <family val="1"/>
        <charset val="204"/>
      </rPr>
      <t xml:space="preserve"> в образовательных учреждениях </t>
    </r>
  </si>
  <si>
    <t>Каша пшенная жидкая молочная с маслом и сахаром</t>
  </si>
  <si>
    <t>Чай с лимоном</t>
  </si>
  <si>
    <t>Кнели из курицы</t>
  </si>
  <si>
    <t>Сырники из творога</t>
  </si>
  <si>
    <t>Джем</t>
  </si>
  <si>
    <t>Бутерброд с маслом</t>
  </si>
  <si>
    <t>Соус сметанный с томатом</t>
  </si>
  <si>
    <t>Какао с молоком</t>
  </si>
  <si>
    <t>Хлеб пшеничный,порция</t>
  </si>
  <si>
    <t>пром</t>
  </si>
  <si>
    <t>Каша жидкая молочная геркулесовая</t>
  </si>
  <si>
    <t>Бутерброд с  джемом</t>
  </si>
  <si>
    <t>Кампот из смеси сухофруктов</t>
  </si>
  <si>
    <t>Оладьи со сгущенным молоком</t>
  </si>
  <si>
    <t>Груша</t>
  </si>
  <si>
    <t>Каша молочная рисовая вязкая</t>
  </si>
  <si>
    <t>Кофейный напиток с молоком</t>
  </si>
  <si>
    <t>Мандарины свежие</t>
  </si>
  <si>
    <t>Омлет натуральный</t>
  </si>
  <si>
    <t>Салат из зеленого горошка консервирова</t>
  </si>
  <si>
    <t>Хлеб пшеничный ,порция</t>
  </si>
  <si>
    <t>Яблоки свежие</t>
  </si>
  <si>
    <t>Яблоки свежиие</t>
  </si>
  <si>
    <t>Макароны отварные с сыром</t>
  </si>
  <si>
    <t>Кисель из плодов или ягод свежих</t>
  </si>
  <si>
    <t>Котлета куринная</t>
  </si>
  <si>
    <t xml:space="preserve">Хлеб  пшеничный </t>
  </si>
  <si>
    <t>прром</t>
  </si>
  <si>
    <t xml:space="preserve"> пром</t>
  </si>
  <si>
    <t>Каша гречневая рассыпчатая</t>
  </si>
  <si>
    <t xml:space="preserve">Каша манная молочная жидкая                  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</si>
</sst>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13131B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13131B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0" fillId="4" borderId="0" xfId="0" applyFill="1"/>
    <xf numFmtId="0" fontId="0" fillId="0" borderId="0" xfId="0" applyAlignment="1">
      <alignment vertical="center"/>
    </xf>
    <xf numFmtId="0" fontId="4" fillId="4" borderId="0" xfId="0" applyFont="1" applyFill="1"/>
    <xf numFmtId="2" fontId="4" fillId="4" borderId="1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4" fillId="4" borderId="4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/>
    </xf>
    <xf numFmtId="2" fontId="4" fillId="4" borderId="3" xfId="1" applyNumberFormat="1" applyFont="1" applyFill="1" applyBorder="1" applyAlignment="1">
      <alignment horizontal="center" vertical="center"/>
    </xf>
    <xf numFmtId="2" fontId="4" fillId="4" borderId="5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4" borderId="1" xfId="0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2" fontId="8" fillId="4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left" vertical="center"/>
    </xf>
    <xf numFmtId="0" fontId="8" fillId="4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2" fontId="8" fillId="4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textRotation="90"/>
    </xf>
    <xf numFmtId="0" fontId="11" fillId="0" borderId="0" xfId="0" applyFont="1"/>
    <xf numFmtId="0" fontId="12" fillId="0" borderId="0" xfId="0" applyFont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1" fillId="4" borderId="0" xfId="0" applyFont="1" applyFill="1"/>
    <xf numFmtId="0" fontId="7" fillId="4" borderId="1" xfId="0" applyFont="1" applyFill="1" applyBorder="1" applyAlignment="1">
      <alignment vertical="center" wrapText="1"/>
    </xf>
    <xf numFmtId="0" fontId="7" fillId="0" borderId="1" xfId="0" applyFont="1" applyBorder="1"/>
    <xf numFmtId="2" fontId="7" fillId="4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/>
    <xf numFmtId="2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4" borderId="7" xfId="1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4" borderId="0" xfId="0" applyFont="1" applyFill="1" applyBorder="1" applyAlignment="1">
      <alignment horizontal="center" vertical="center" textRotation="90"/>
    </xf>
    <xf numFmtId="2" fontId="5" fillId="0" borderId="0" xfId="0" applyNumberFormat="1" applyFont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textRotation="90"/>
    </xf>
    <xf numFmtId="0" fontId="7" fillId="4" borderId="4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4"/>
  <sheetViews>
    <sheetView tabSelected="1" view="pageBreakPreview" zoomScaleSheetLayoutView="100" workbookViewId="0">
      <selection activeCell="G5" sqref="G5"/>
    </sheetView>
  </sheetViews>
  <sheetFormatPr defaultRowHeight="15"/>
  <cols>
    <col min="1" max="1" width="36.28515625" customWidth="1"/>
    <col min="2" max="2" width="13.28515625" style="89" customWidth="1"/>
    <col min="3" max="3" width="12" style="89" customWidth="1"/>
    <col min="4" max="4" width="9.7109375" style="89" bestFit="1" customWidth="1"/>
    <col min="5" max="15" width="8.85546875" style="89"/>
    <col min="16" max="16" width="3.28515625" style="75" customWidth="1"/>
  </cols>
  <sheetData>
    <row r="1" spans="1:16" ht="7.15" customHeight="1">
      <c r="A1" s="77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78"/>
    </row>
    <row r="2" spans="1:16" s="76" customFormat="1" ht="20.25" customHeight="1">
      <c r="A2" s="137" t="s">
        <v>103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s="76" customFormat="1" ht="30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5.6" customHeight="1">
      <c r="A4" s="141" t="s">
        <v>82</v>
      </c>
      <c r="B4" s="143" t="s">
        <v>81</v>
      </c>
      <c r="C4" s="143" t="s">
        <v>99</v>
      </c>
      <c r="D4" s="143" t="s">
        <v>83</v>
      </c>
      <c r="E4" s="151" t="s">
        <v>84</v>
      </c>
      <c r="F4" s="152"/>
      <c r="G4" s="152"/>
      <c r="H4" s="153"/>
      <c r="I4" s="151" t="s">
        <v>85</v>
      </c>
      <c r="J4" s="152"/>
      <c r="K4" s="152"/>
      <c r="L4" s="153"/>
      <c r="M4" s="151" t="s">
        <v>86</v>
      </c>
      <c r="N4" s="152"/>
      <c r="O4" s="153"/>
      <c r="P4" s="73"/>
    </row>
    <row r="5" spans="1:16" ht="70.900000000000006" customHeight="1">
      <c r="A5" s="142"/>
      <c r="B5" s="144"/>
      <c r="C5" s="144"/>
      <c r="D5" s="144"/>
      <c r="E5" s="132" t="s">
        <v>1</v>
      </c>
      <c r="F5" s="132" t="s">
        <v>2</v>
      </c>
      <c r="G5" s="132" t="s">
        <v>3</v>
      </c>
      <c r="H5" s="132" t="s">
        <v>4</v>
      </c>
      <c r="I5" s="132" t="s">
        <v>5</v>
      </c>
      <c r="J5" s="132" t="s">
        <v>6</v>
      </c>
      <c r="K5" s="132" t="s">
        <v>7</v>
      </c>
      <c r="L5" s="132" t="s">
        <v>8</v>
      </c>
      <c r="M5" s="132" t="s">
        <v>9</v>
      </c>
      <c r="N5" s="132" t="s">
        <v>10</v>
      </c>
      <c r="O5" s="132" t="s">
        <v>11</v>
      </c>
      <c r="P5" s="73"/>
    </row>
    <row r="6" spans="1:16" ht="15.6" customHeight="1">
      <c r="A6" s="145" t="s">
        <v>25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7"/>
      <c r="P6" s="73"/>
    </row>
    <row r="7" spans="1:16" ht="15.6" customHeight="1">
      <c r="A7" s="145" t="s">
        <v>90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  <c r="P7" s="73"/>
    </row>
    <row r="8" spans="1:16" ht="29.45" customHeight="1">
      <c r="A8" s="42" t="s">
        <v>104</v>
      </c>
      <c r="B8" s="43">
        <v>2017</v>
      </c>
      <c r="C8" s="43">
        <v>182</v>
      </c>
      <c r="D8" s="44">
        <v>220</v>
      </c>
      <c r="E8" s="45">
        <v>7.51</v>
      </c>
      <c r="F8" s="45">
        <v>11.72</v>
      </c>
      <c r="G8" s="45">
        <v>47.03</v>
      </c>
      <c r="H8" s="45">
        <v>325</v>
      </c>
      <c r="I8" s="45">
        <v>11.09</v>
      </c>
      <c r="J8" s="45">
        <v>31.56</v>
      </c>
      <c r="K8" s="45">
        <v>1.03</v>
      </c>
      <c r="L8" s="45">
        <v>89.62</v>
      </c>
      <c r="M8" s="45">
        <v>0.11</v>
      </c>
      <c r="N8" s="45">
        <v>0</v>
      </c>
      <c r="O8" s="45">
        <v>0</v>
      </c>
      <c r="P8" s="134"/>
    </row>
    <row r="9" spans="1:16">
      <c r="A9" s="46" t="s">
        <v>79</v>
      </c>
      <c r="B9" s="43">
        <v>2017</v>
      </c>
      <c r="C9" s="43">
        <v>3</v>
      </c>
      <c r="D9" s="44">
        <v>50</v>
      </c>
      <c r="E9" s="45">
        <v>5.8</v>
      </c>
      <c r="F9" s="45">
        <v>8.3000000000000007</v>
      </c>
      <c r="G9" s="45">
        <v>14.83</v>
      </c>
      <c r="H9" s="45">
        <v>157</v>
      </c>
      <c r="I9" s="45">
        <v>106</v>
      </c>
      <c r="J9" s="45">
        <v>4.8</v>
      </c>
      <c r="K9" s="45">
        <v>0.12</v>
      </c>
      <c r="L9" s="45">
        <v>0</v>
      </c>
      <c r="M9" s="45">
        <v>0</v>
      </c>
      <c r="N9" s="45">
        <v>8.8999999999999996E-2</v>
      </c>
      <c r="O9" s="47">
        <v>0</v>
      </c>
      <c r="P9" s="135"/>
    </row>
    <row r="10" spans="1:16">
      <c r="A10" s="46" t="s">
        <v>56</v>
      </c>
      <c r="B10" s="43">
        <v>2017</v>
      </c>
      <c r="C10" s="43">
        <v>209</v>
      </c>
      <c r="D10" s="44">
        <v>40</v>
      </c>
      <c r="E10" s="45">
        <v>5.0999999999999996</v>
      </c>
      <c r="F10" s="45">
        <v>4.5999999999999996</v>
      </c>
      <c r="G10" s="45">
        <v>0.3</v>
      </c>
      <c r="H10" s="45">
        <v>63</v>
      </c>
      <c r="I10" s="45">
        <v>22</v>
      </c>
      <c r="J10" s="45">
        <v>4.8</v>
      </c>
      <c r="K10" s="45">
        <v>1</v>
      </c>
      <c r="L10" s="45">
        <v>76.8</v>
      </c>
      <c r="M10" s="45">
        <v>0.03</v>
      </c>
      <c r="N10" s="45">
        <v>0</v>
      </c>
      <c r="O10" s="47">
        <v>0.01</v>
      </c>
      <c r="P10" s="135"/>
    </row>
    <row r="11" spans="1:16">
      <c r="A11" s="46" t="s">
        <v>105</v>
      </c>
      <c r="B11" s="48">
        <v>2017</v>
      </c>
      <c r="C11" s="48">
        <v>377</v>
      </c>
      <c r="D11" s="44">
        <v>200</v>
      </c>
      <c r="E11" s="45">
        <v>0.1</v>
      </c>
      <c r="F11" s="45">
        <v>0</v>
      </c>
      <c r="G11" s="45">
        <v>15.2</v>
      </c>
      <c r="H11" s="45">
        <v>61</v>
      </c>
      <c r="I11" s="45">
        <v>6</v>
      </c>
      <c r="J11" s="45">
        <v>0</v>
      </c>
      <c r="K11" s="45">
        <v>0.4</v>
      </c>
      <c r="L11" s="45">
        <v>0</v>
      </c>
      <c r="M11" s="45">
        <v>0</v>
      </c>
      <c r="N11" s="45">
        <v>0</v>
      </c>
      <c r="O11" s="45">
        <v>0</v>
      </c>
      <c r="P11" s="135"/>
    </row>
    <row r="12" spans="1:16">
      <c r="A12" s="49"/>
      <c r="B12" s="43"/>
      <c r="C12" s="43"/>
      <c r="D12" s="50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135"/>
    </row>
    <row r="13" spans="1:16" ht="21" customHeight="1">
      <c r="A13" s="51" t="s">
        <v>16</v>
      </c>
      <c r="B13" s="60"/>
      <c r="C13" s="60"/>
      <c r="D13" s="61">
        <v>510</v>
      </c>
      <c r="E13" s="61">
        <v>18.510000000000002</v>
      </c>
      <c r="F13" s="61">
        <v>24.62</v>
      </c>
      <c r="G13" s="61">
        <v>77.36</v>
      </c>
      <c r="H13" s="61">
        <v>606</v>
      </c>
      <c r="I13" s="61">
        <v>145.09</v>
      </c>
      <c r="J13" s="61">
        <v>41.16</v>
      </c>
      <c r="K13" s="61">
        <v>2.5499999999999998</v>
      </c>
      <c r="L13" s="61">
        <v>166.42</v>
      </c>
      <c r="M13" s="61">
        <v>0.14000000000000001</v>
      </c>
      <c r="N13" s="61">
        <v>0.09</v>
      </c>
      <c r="O13" s="62">
        <v>0.01</v>
      </c>
      <c r="P13" s="136"/>
    </row>
    <row r="14" spans="1:16" s="75" customFormat="1">
      <c r="A14" s="148" t="s">
        <v>34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74"/>
    </row>
    <row r="15" spans="1:16" s="75" customFormat="1">
      <c r="A15" s="149" t="s">
        <v>90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50"/>
      <c r="P15" s="73"/>
    </row>
    <row r="16" spans="1:16" ht="15" customHeight="1">
      <c r="A16" s="42" t="s">
        <v>106</v>
      </c>
      <c r="B16" s="53">
        <v>2017</v>
      </c>
      <c r="C16" s="53">
        <v>301</v>
      </c>
      <c r="D16" s="58">
        <v>90</v>
      </c>
      <c r="E16" s="58">
        <v>13.34</v>
      </c>
      <c r="F16" s="58">
        <v>19.86</v>
      </c>
      <c r="G16" s="58">
        <v>5.09</v>
      </c>
      <c r="H16" s="58">
        <v>252</v>
      </c>
      <c r="I16" s="45"/>
      <c r="J16" s="45"/>
      <c r="K16" s="45"/>
      <c r="L16" s="45"/>
      <c r="M16" s="45"/>
      <c r="N16" s="45"/>
      <c r="O16" s="47"/>
      <c r="P16" s="134"/>
    </row>
    <row r="17" spans="1:16">
      <c r="A17" s="42" t="s">
        <v>46</v>
      </c>
      <c r="B17" s="53">
        <v>2017</v>
      </c>
      <c r="C17" s="53">
        <v>312</v>
      </c>
      <c r="D17" s="58">
        <v>150</v>
      </c>
      <c r="E17" s="58">
        <v>3.1</v>
      </c>
      <c r="F17" s="58">
        <v>6.6</v>
      </c>
      <c r="G17" s="58">
        <v>16.43</v>
      </c>
      <c r="H17" s="58">
        <v>138</v>
      </c>
      <c r="I17" s="45">
        <v>18</v>
      </c>
      <c r="J17" s="45">
        <v>33</v>
      </c>
      <c r="K17" s="45">
        <v>1.2</v>
      </c>
      <c r="L17" s="45">
        <v>0</v>
      </c>
      <c r="M17" s="45">
        <v>0</v>
      </c>
      <c r="N17" s="45">
        <v>21.75</v>
      </c>
      <c r="O17" s="47">
        <v>0</v>
      </c>
      <c r="P17" s="135"/>
    </row>
    <row r="18" spans="1:16" ht="14.25" customHeight="1">
      <c r="A18" s="46" t="s">
        <v>110</v>
      </c>
      <c r="B18" s="58">
        <v>2017</v>
      </c>
      <c r="C18" s="58">
        <v>331</v>
      </c>
      <c r="D18" s="44">
        <v>20</v>
      </c>
      <c r="E18" s="45">
        <v>0.7</v>
      </c>
      <c r="F18" s="45">
        <v>4.2</v>
      </c>
      <c r="G18" s="45">
        <v>1.2</v>
      </c>
      <c r="H18" s="45">
        <v>46</v>
      </c>
      <c r="I18" s="45">
        <v>14</v>
      </c>
      <c r="J18" s="45">
        <v>12.4</v>
      </c>
      <c r="K18" s="45">
        <v>0.17</v>
      </c>
      <c r="L18" s="45">
        <v>0</v>
      </c>
      <c r="M18" s="45">
        <v>0</v>
      </c>
      <c r="N18" s="45">
        <v>0.94</v>
      </c>
      <c r="O18" s="47">
        <v>0</v>
      </c>
      <c r="P18" s="135"/>
    </row>
    <row r="19" spans="1:16" ht="14.25" customHeight="1">
      <c r="A19" s="46" t="s">
        <v>112</v>
      </c>
      <c r="B19" s="58" t="s">
        <v>113</v>
      </c>
      <c r="C19" s="58" t="s">
        <v>113</v>
      </c>
      <c r="D19" s="44">
        <v>40</v>
      </c>
      <c r="E19" s="45">
        <v>3.04</v>
      </c>
      <c r="F19" s="45">
        <v>0.32</v>
      </c>
      <c r="G19" s="45">
        <v>19.68</v>
      </c>
      <c r="H19" s="45">
        <v>94</v>
      </c>
      <c r="I19" s="45">
        <v>3.6</v>
      </c>
      <c r="J19" s="45">
        <v>3.8</v>
      </c>
      <c r="K19" s="45">
        <v>0.8</v>
      </c>
      <c r="L19" s="45">
        <v>17.399999999999999</v>
      </c>
      <c r="M19" s="45">
        <v>0.04</v>
      </c>
      <c r="N19" s="45">
        <v>0</v>
      </c>
      <c r="O19" s="47">
        <v>0</v>
      </c>
      <c r="P19" s="135"/>
    </row>
    <row r="20" spans="1:16" ht="12" customHeight="1">
      <c r="A20" s="59" t="s">
        <v>111</v>
      </c>
      <c r="B20" s="58">
        <v>2017</v>
      </c>
      <c r="C20" s="58">
        <v>382</v>
      </c>
      <c r="D20" s="58">
        <v>200</v>
      </c>
      <c r="E20" s="45">
        <v>3.6</v>
      </c>
      <c r="F20" s="45">
        <v>3.3</v>
      </c>
      <c r="G20" s="45">
        <v>25</v>
      </c>
      <c r="H20" s="45">
        <v>144</v>
      </c>
      <c r="I20" s="45">
        <v>122</v>
      </c>
      <c r="J20" s="45">
        <v>14</v>
      </c>
      <c r="K20" s="45">
        <v>0.56000000000000005</v>
      </c>
      <c r="L20" s="45">
        <v>90</v>
      </c>
      <c r="M20" s="45">
        <v>0.04</v>
      </c>
      <c r="N20" s="45">
        <v>1.3</v>
      </c>
      <c r="O20" s="47">
        <v>0.01</v>
      </c>
      <c r="P20" s="135"/>
    </row>
    <row r="21" spans="1:16" ht="19.5" customHeight="1">
      <c r="A21" s="57" t="s">
        <v>16</v>
      </c>
      <c r="B21" s="85"/>
      <c r="C21" s="85"/>
      <c r="D21" s="60">
        <f t="shared" ref="D21:O21" si="0">SUM(D16:D20)</f>
        <v>500</v>
      </c>
      <c r="E21" s="61">
        <f t="shared" si="0"/>
        <v>23.78</v>
      </c>
      <c r="F21" s="61">
        <f t="shared" si="0"/>
        <v>34.28</v>
      </c>
      <c r="G21" s="61">
        <f t="shared" si="0"/>
        <v>67.400000000000006</v>
      </c>
      <c r="H21" s="61">
        <f t="shared" si="0"/>
        <v>674</v>
      </c>
      <c r="I21" s="61">
        <f t="shared" si="0"/>
        <v>157.6</v>
      </c>
      <c r="J21" s="61">
        <f t="shared" si="0"/>
        <v>63.199999999999996</v>
      </c>
      <c r="K21" s="61">
        <f t="shared" si="0"/>
        <v>2.73</v>
      </c>
      <c r="L21" s="61">
        <f t="shared" si="0"/>
        <v>107.4</v>
      </c>
      <c r="M21" s="61">
        <f t="shared" si="0"/>
        <v>0.08</v>
      </c>
      <c r="N21" s="61">
        <f t="shared" si="0"/>
        <v>23.990000000000002</v>
      </c>
      <c r="O21" s="62">
        <f t="shared" si="0"/>
        <v>0.01</v>
      </c>
      <c r="P21" s="135"/>
    </row>
    <row r="22" spans="1:16" ht="24" customHeight="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40"/>
      <c r="P22" s="135"/>
    </row>
    <row r="23" spans="1:16">
      <c r="A23" s="138" t="s">
        <v>90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40"/>
      <c r="P23" s="135"/>
    </row>
    <row r="24" spans="1:16">
      <c r="A24" s="64" t="s">
        <v>107</v>
      </c>
      <c r="B24" s="53">
        <v>2017</v>
      </c>
      <c r="C24" s="53">
        <v>219</v>
      </c>
      <c r="D24" s="58">
        <v>150</v>
      </c>
      <c r="E24" s="45">
        <v>24</v>
      </c>
      <c r="F24" s="45">
        <v>18.5</v>
      </c>
      <c r="G24" s="45">
        <v>31.9</v>
      </c>
      <c r="H24" s="45">
        <v>389</v>
      </c>
      <c r="I24" s="58">
        <v>248.75</v>
      </c>
      <c r="J24" s="58">
        <v>39.6</v>
      </c>
      <c r="K24" s="58">
        <v>1.17</v>
      </c>
      <c r="L24" s="58">
        <v>350.7</v>
      </c>
      <c r="M24" s="58">
        <v>0.11</v>
      </c>
      <c r="N24" s="58">
        <v>0.39</v>
      </c>
      <c r="O24" s="47">
        <v>89.95</v>
      </c>
      <c r="P24" s="135"/>
    </row>
    <row r="25" spans="1:16" ht="15" customHeight="1">
      <c r="A25" s="46" t="s">
        <v>108</v>
      </c>
      <c r="B25" s="53" t="s">
        <v>113</v>
      </c>
      <c r="C25" s="53" t="s">
        <v>113</v>
      </c>
      <c r="D25" s="45">
        <v>30</v>
      </c>
      <c r="E25" s="45">
        <v>0.15</v>
      </c>
      <c r="F25" s="45">
        <v>0</v>
      </c>
      <c r="G25" s="45">
        <v>21.48</v>
      </c>
      <c r="H25" s="45">
        <v>84</v>
      </c>
      <c r="I25" s="45">
        <v>6.3</v>
      </c>
      <c r="J25" s="45">
        <v>3.3</v>
      </c>
      <c r="K25" s="45">
        <v>0.4</v>
      </c>
      <c r="L25" s="45">
        <v>5.3</v>
      </c>
      <c r="M25" s="45">
        <v>0</v>
      </c>
      <c r="N25" s="45">
        <v>6.3</v>
      </c>
      <c r="O25" s="47">
        <v>0</v>
      </c>
      <c r="P25" s="135"/>
    </row>
    <row r="26" spans="1:16">
      <c r="A26" s="46" t="s">
        <v>109</v>
      </c>
      <c r="B26" s="53">
        <v>2017</v>
      </c>
      <c r="C26" s="53">
        <v>1</v>
      </c>
      <c r="D26" s="58">
        <v>50</v>
      </c>
      <c r="E26" s="58">
        <v>3.26</v>
      </c>
      <c r="F26" s="58">
        <v>7.6</v>
      </c>
      <c r="G26" s="58">
        <v>0.97</v>
      </c>
      <c r="H26" s="58">
        <v>159.24</v>
      </c>
      <c r="I26" s="58">
        <v>6.3</v>
      </c>
      <c r="J26" s="58">
        <v>4.2</v>
      </c>
      <c r="K26" s="58">
        <v>0.27</v>
      </c>
      <c r="L26" s="58">
        <v>0</v>
      </c>
      <c r="M26" s="58">
        <v>0.02</v>
      </c>
      <c r="N26" s="58">
        <v>30</v>
      </c>
      <c r="O26" s="58">
        <v>0</v>
      </c>
      <c r="P26" s="135"/>
    </row>
    <row r="27" spans="1:16">
      <c r="A27" s="59" t="s">
        <v>105</v>
      </c>
      <c r="B27" s="58">
        <v>2017</v>
      </c>
      <c r="C27" s="58">
        <v>337</v>
      </c>
      <c r="D27" s="58">
        <v>200</v>
      </c>
      <c r="E27" s="45">
        <v>4.51</v>
      </c>
      <c r="F27" s="45">
        <v>1.1399999999999999</v>
      </c>
      <c r="G27" s="45">
        <v>7.71</v>
      </c>
      <c r="H27" s="45">
        <v>61</v>
      </c>
      <c r="I27" s="45">
        <v>112.55</v>
      </c>
      <c r="J27" s="45">
        <v>99.08</v>
      </c>
      <c r="K27" s="45">
        <v>18.420000000000002</v>
      </c>
      <c r="L27" s="45">
        <v>185.53399999999999</v>
      </c>
      <c r="M27" s="45">
        <v>0.01</v>
      </c>
      <c r="N27" s="45">
        <v>3.67</v>
      </c>
      <c r="O27" s="47">
        <v>0.01</v>
      </c>
      <c r="P27" s="135"/>
    </row>
    <row r="28" spans="1:16">
      <c r="A28" s="59" t="s">
        <v>15</v>
      </c>
      <c r="B28" s="58">
        <v>2017</v>
      </c>
      <c r="C28" s="58">
        <v>338</v>
      </c>
      <c r="D28" s="58">
        <v>100</v>
      </c>
      <c r="E28" s="45">
        <v>0.4</v>
      </c>
      <c r="F28" s="45">
        <v>0.4</v>
      </c>
      <c r="G28" s="45">
        <v>9.8000000000000007</v>
      </c>
      <c r="H28" s="45">
        <v>47</v>
      </c>
      <c r="I28" s="45">
        <v>10</v>
      </c>
      <c r="J28" s="45">
        <v>0</v>
      </c>
      <c r="K28" s="45">
        <v>2.2000000000000002</v>
      </c>
      <c r="L28" s="45">
        <v>75.8</v>
      </c>
      <c r="M28" s="45">
        <v>0.03</v>
      </c>
      <c r="N28" s="45">
        <v>10</v>
      </c>
      <c r="O28" s="47">
        <v>0</v>
      </c>
      <c r="P28" s="135"/>
    </row>
    <row r="29" spans="1:16">
      <c r="A29" s="57" t="s">
        <v>16</v>
      </c>
      <c r="B29" s="85"/>
      <c r="C29" s="85"/>
      <c r="D29" s="60">
        <f>SUM(D24:D28)</f>
        <v>530</v>
      </c>
      <c r="E29" s="61">
        <f>SUM(E24:E28)</f>
        <v>32.319999999999993</v>
      </c>
      <c r="F29" s="61">
        <f>SUM(F24:F28)</f>
        <v>27.64</v>
      </c>
      <c r="G29" s="128">
        <f>SUM(G24:G28)</f>
        <v>71.86</v>
      </c>
      <c r="H29" s="61">
        <f>SUM(H24:H28)</f>
        <v>740.24</v>
      </c>
      <c r="I29" s="61">
        <f t="shared" ref="I29:N29" si="1">SUM(I24:I27)</f>
        <v>373.90000000000003</v>
      </c>
      <c r="J29" s="61">
        <f t="shared" si="1"/>
        <v>146.18</v>
      </c>
      <c r="K29" s="61">
        <f t="shared" si="1"/>
        <v>20.260000000000002</v>
      </c>
      <c r="L29" s="61">
        <f t="shared" si="1"/>
        <v>541.53399999999999</v>
      </c>
      <c r="M29" s="61">
        <f t="shared" si="1"/>
        <v>0.14000000000000001</v>
      </c>
      <c r="N29" s="61">
        <f t="shared" si="1"/>
        <v>40.36</v>
      </c>
      <c r="O29" s="62">
        <f>SUM(O24:O28)</f>
        <v>89.960000000000008</v>
      </c>
      <c r="P29" s="135"/>
    </row>
    <row r="30" spans="1:16">
      <c r="A30" s="139" t="s">
        <v>48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40"/>
      <c r="P30" s="135"/>
    </row>
    <row r="31" spans="1:16">
      <c r="A31" s="138" t="s">
        <v>90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40"/>
      <c r="P31" s="135"/>
    </row>
    <row r="32" spans="1:16">
      <c r="A32" s="52" t="s">
        <v>114</v>
      </c>
      <c r="B32" s="43">
        <v>2017</v>
      </c>
      <c r="C32" s="43">
        <v>182</v>
      </c>
      <c r="D32" s="44">
        <v>200</v>
      </c>
      <c r="E32" s="45">
        <v>7.6</v>
      </c>
      <c r="F32" s="45">
        <v>9.4</v>
      </c>
      <c r="G32" s="45">
        <v>28.8</v>
      </c>
      <c r="H32" s="45">
        <v>228.4</v>
      </c>
      <c r="I32" s="45">
        <v>152.76</v>
      </c>
      <c r="J32" s="45">
        <v>0</v>
      </c>
      <c r="K32" s="45">
        <v>1.71</v>
      </c>
      <c r="L32" s="45">
        <v>0</v>
      </c>
      <c r="M32" s="45">
        <v>0.21</v>
      </c>
      <c r="N32" s="45">
        <v>1.17</v>
      </c>
      <c r="O32" s="47">
        <v>0</v>
      </c>
      <c r="P32" s="135"/>
    </row>
    <row r="33" spans="1:16">
      <c r="A33" s="65" t="s">
        <v>115</v>
      </c>
      <c r="B33" s="58">
        <v>2017</v>
      </c>
      <c r="C33" s="58">
        <v>2</v>
      </c>
      <c r="D33" s="66">
        <v>60</v>
      </c>
      <c r="E33" s="67">
        <v>1.7</v>
      </c>
      <c r="F33" s="45">
        <v>4.3</v>
      </c>
      <c r="G33" s="45">
        <v>32.6</v>
      </c>
      <c r="H33" s="67">
        <v>176</v>
      </c>
      <c r="I33" s="45">
        <v>10</v>
      </c>
      <c r="J33" s="45">
        <v>0</v>
      </c>
      <c r="K33" s="45">
        <v>0.6</v>
      </c>
      <c r="L33" s="45">
        <v>0</v>
      </c>
      <c r="M33" s="45">
        <v>0.04</v>
      </c>
      <c r="N33" s="45">
        <v>0.1</v>
      </c>
      <c r="O33" s="47">
        <v>0</v>
      </c>
      <c r="P33" s="135"/>
    </row>
    <row r="34" spans="1:16">
      <c r="A34" s="55" t="s">
        <v>116</v>
      </c>
      <c r="B34" s="53">
        <v>2017</v>
      </c>
      <c r="C34" s="53">
        <v>349</v>
      </c>
      <c r="D34" s="58">
        <v>200</v>
      </c>
      <c r="E34" s="58">
        <v>1.1599999999999999</v>
      </c>
      <c r="F34" s="58">
        <v>0.3</v>
      </c>
      <c r="G34" s="58">
        <v>47.26</v>
      </c>
      <c r="H34" s="58">
        <v>196.38</v>
      </c>
      <c r="I34" s="58">
        <v>6.4</v>
      </c>
      <c r="J34" s="58">
        <v>0</v>
      </c>
      <c r="K34" s="58">
        <v>0.18</v>
      </c>
      <c r="L34" s="58">
        <v>3.6</v>
      </c>
      <c r="M34" s="58">
        <v>0.01</v>
      </c>
      <c r="N34" s="58">
        <v>1.08</v>
      </c>
      <c r="O34" s="63">
        <v>0</v>
      </c>
      <c r="P34" s="135"/>
    </row>
    <row r="35" spans="1:16">
      <c r="A35" s="59" t="s">
        <v>15</v>
      </c>
      <c r="B35" s="58">
        <v>2017</v>
      </c>
      <c r="C35" s="58">
        <v>338</v>
      </c>
      <c r="D35" s="44">
        <v>100</v>
      </c>
      <c r="E35" s="45">
        <v>0.4</v>
      </c>
      <c r="F35" s="45">
        <v>0.4</v>
      </c>
      <c r="G35" s="45">
        <v>9.8000000000000007</v>
      </c>
      <c r="H35" s="45">
        <v>47</v>
      </c>
      <c r="I35" s="45">
        <v>10</v>
      </c>
      <c r="J35" s="45">
        <v>0</v>
      </c>
      <c r="K35" s="45">
        <v>2.2000000000000002</v>
      </c>
      <c r="L35" s="45">
        <v>75.8</v>
      </c>
      <c r="M35" s="45">
        <v>0.03</v>
      </c>
      <c r="N35" s="45">
        <v>10</v>
      </c>
      <c r="O35" s="47">
        <v>0</v>
      </c>
      <c r="P35" s="135"/>
    </row>
    <row r="36" spans="1:16">
      <c r="A36" s="68" t="s">
        <v>16</v>
      </c>
      <c r="B36" s="86"/>
      <c r="C36" s="86"/>
      <c r="D36" s="70">
        <f t="shared" ref="D36:O36" si="2">SUM(D32:D35)</f>
        <v>560</v>
      </c>
      <c r="E36" s="61">
        <f>SUM(E32:E35)</f>
        <v>10.86</v>
      </c>
      <c r="F36" s="61">
        <f>SUM(F32:F35)</f>
        <v>14.4</v>
      </c>
      <c r="G36" s="61">
        <f>SUM(G32:G35)</f>
        <v>118.46</v>
      </c>
      <c r="H36" s="61">
        <f>SUM(H32:H35)</f>
        <v>647.78</v>
      </c>
      <c r="I36" s="61">
        <f t="shared" si="2"/>
        <v>179.16</v>
      </c>
      <c r="J36" s="61">
        <f t="shared" si="2"/>
        <v>0</v>
      </c>
      <c r="K36" s="61">
        <f t="shared" si="2"/>
        <v>4.6900000000000004</v>
      </c>
      <c r="L36" s="61">
        <f t="shared" si="2"/>
        <v>79.399999999999991</v>
      </c>
      <c r="M36" s="61">
        <f t="shared" si="2"/>
        <v>0.29000000000000004</v>
      </c>
      <c r="N36" s="61">
        <f t="shared" si="2"/>
        <v>12.35</v>
      </c>
      <c r="O36" s="62">
        <f t="shared" si="2"/>
        <v>0</v>
      </c>
      <c r="P36" s="135"/>
    </row>
    <row r="37" spans="1:16" s="1" customFormat="1">
      <c r="A37" s="138" t="s">
        <v>55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40"/>
      <c r="P37" s="154"/>
    </row>
    <row r="38" spans="1:16" s="1" customFormat="1">
      <c r="A38" s="138" t="s">
        <v>90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  <c r="P38" s="154"/>
    </row>
    <row r="39" spans="1:16" s="1" customFormat="1">
      <c r="A39" s="42" t="s">
        <v>117</v>
      </c>
      <c r="B39" s="53">
        <v>2017</v>
      </c>
      <c r="C39" s="53">
        <v>401</v>
      </c>
      <c r="D39" s="58">
        <v>220</v>
      </c>
      <c r="E39" s="45">
        <v>18.399999999999999</v>
      </c>
      <c r="F39" s="45">
        <v>16.8</v>
      </c>
      <c r="G39" s="45">
        <v>99.8</v>
      </c>
      <c r="H39" s="45">
        <v>632</v>
      </c>
      <c r="I39" s="45">
        <v>189.78</v>
      </c>
      <c r="J39" s="45">
        <v>32.590000000000003</v>
      </c>
      <c r="K39" s="45">
        <v>1.21</v>
      </c>
      <c r="L39" s="45">
        <v>0</v>
      </c>
      <c r="M39" s="45">
        <v>0.15</v>
      </c>
      <c r="N39" s="45">
        <v>0.56000000000000005</v>
      </c>
      <c r="O39" s="47">
        <v>0</v>
      </c>
      <c r="P39" s="154"/>
    </row>
    <row r="40" spans="1:16" s="1" customFormat="1">
      <c r="A40" s="69" t="s">
        <v>14</v>
      </c>
      <c r="B40" s="45">
        <v>2017</v>
      </c>
      <c r="C40" s="45">
        <v>376</v>
      </c>
      <c r="D40" s="44">
        <v>200</v>
      </c>
      <c r="E40" s="45">
        <v>7.0000000000000007E-2</v>
      </c>
      <c r="F40" s="45">
        <v>0.02</v>
      </c>
      <c r="G40" s="45">
        <v>15</v>
      </c>
      <c r="H40" s="45">
        <v>60</v>
      </c>
      <c r="I40" s="45">
        <v>11.1</v>
      </c>
      <c r="J40" s="45">
        <v>1.4</v>
      </c>
      <c r="K40" s="45">
        <v>0.28000000000000003</v>
      </c>
      <c r="L40" s="45">
        <v>0</v>
      </c>
      <c r="M40" s="45">
        <v>0</v>
      </c>
      <c r="N40" s="45">
        <v>0.3</v>
      </c>
      <c r="O40" s="47">
        <v>0</v>
      </c>
      <c r="P40" s="154"/>
    </row>
    <row r="41" spans="1:16" s="1" customFormat="1">
      <c r="A41" s="49" t="s">
        <v>118</v>
      </c>
      <c r="B41" s="54">
        <v>2017</v>
      </c>
      <c r="C41" s="54">
        <v>847</v>
      </c>
      <c r="D41" s="54">
        <v>100</v>
      </c>
      <c r="E41" s="58">
        <v>0.4</v>
      </c>
      <c r="F41" s="58">
        <v>0.3</v>
      </c>
      <c r="G41" s="58">
        <v>10.3</v>
      </c>
      <c r="H41" s="58">
        <v>47</v>
      </c>
      <c r="I41" s="58">
        <v>8</v>
      </c>
      <c r="J41" s="58">
        <v>0</v>
      </c>
      <c r="K41" s="58">
        <v>2.2999999999999998</v>
      </c>
      <c r="L41" s="58">
        <v>96.1</v>
      </c>
      <c r="M41" s="58">
        <v>0.02</v>
      </c>
      <c r="N41" s="58">
        <v>5</v>
      </c>
      <c r="O41" s="63">
        <v>0</v>
      </c>
      <c r="P41" s="154"/>
    </row>
    <row r="42" spans="1:16" s="1" customFormat="1">
      <c r="A42" s="57" t="s">
        <v>16</v>
      </c>
      <c r="B42" s="85"/>
      <c r="C42" s="85"/>
      <c r="D42" s="70">
        <f t="shared" ref="D42:O42" si="3">SUM(D39:D41)</f>
        <v>520</v>
      </c>
      <c r="E42" s="128">
        <f>SUM(E39:E41)</f>
        <v>18.869999999999997</v>
      </c>
      <c r="F42" s="61">
        <f>SUM(F39:F41)</f>
        <v>17.12</v>
      </c>
      <c r="G42" s="61">
        <f>SUM(G39:G41)</f>
        <v>125.1</v>
      </c>
      <c r="H42" s="61">
        <f>SUM(H39:H41)</f>
        <v>739</v>
      </c>
      <c r="I42" s="61">
        <f t="shared" si="3"/>
        <v>208.88</v>
      </c>
      <c r="J42" s="61">
        <f t="shared" si="3"/>
        <v>33.99</v>
      </c>
      <c r="K42" s="61">
        <f t="shared" si="3"/>
        <v>3.79</v>
      </c>
      <c r="L42" s="61">
        <f t="shared" si="3"/>
        <v>96.1</v>
      </c>
      <c r="M42" s="61">
        <f t="shared" si="3"/>
        <v>0.16999999999999998</v>
      </c>
      <c r="N42" s="61">
        <f t="shared" si="3"/>
        <v>5.86</v>
      </c>
      <c r="O42" s="62">
        <f t="shared" si="3"/>
        <v>0</v>
      </c>
      <c r="P42" s="154"/>
    </row>
    <row r="43" spans="1:16">
      <c r="A43" s="80" t="s">
        <v>94</v>
      </c>
      <c r="B43" s="87"/>
      <c r="C43" s="87"/>
      <c r="D43" s="88">
        <v>2620</v>
      </c>
      <c r="E43" s="82">
        <v>104.34</v>
      </c>
      <c r="F43" s="82">
        <v>118.06</v>
      </c>
      <c r="G43" s="82">
        <v>460.18</v>
      </c>
      <c r="H43" s="82">
        <v>3407.02</v>
      </c>
      <c r="I43" s="82">
        <v>548.92546666666658</v>
      </c>
      <c r="J43" s="82">
        <v>151.55948888888889</v>
      </c>
      <c r="K43" s="82">
        <v>8.4326666666666661</v>
      </c>
      <c r="L43" s="82">
        <v>556.35448888888891</v>
      </c>
      <c r="M43" s="82">
        <v>0.72480000000000011</v>
      </c>
      <c r="N43" s="82">
        <v>33.7864</v>
      </c>
      <c r="O43" s="82">
        <v>376.26902000000013</v>
      </c>
      <c r="P43" s="135"/>
    </row>
    <row r="44" spans="1:16" ht="12.6" customHeight="1">
      <c r="A44" s="138" t="s">
        <v>61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  <c r="P44" s="135"/>
    </row>
    <row r="45" spans="1:16" ht="12.6" customHeight="1">
      <c r="A45" s="138" t="s">
        <v>90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  <c r="P45" s="135"/>
    </row>
    <row r="46" spans="1:16" ht="12.6" customHeight="1">
      <c r="A46" s="42" t="s">
        <v>119</v>
      </c>
      <c r="B46" s="43">
        <v>2017</v>
      </c>
      <c r="C46" s="43">
        <v>174</v>
      </c>
      <c r="D46" s="58">
        <v>200</v>
      </c>
      <c r="E46" s="45">
        <v>6.3</v>
      </c>
      <c r="F46" s="45">
        <v>11.8</v>
      </c>
      <c r="G46" s="45">
        <v>37</v>
      </c>
      <c r="H46" s="45">
        <v>279.39999999999998</v>
      </c>
      <c r="I46" s="45">
        <v>152.76</v>
      </c>
      <c r="J46" s="45">
        <v>0</v>
      </c>
      <c r="K46" s="45">
        <v>1.71</v>
      </c>
      <c r="L46" s="45">
        <v>0</v>
      </c>
      <c r="M46" s="45">
        <v>0.21</v>
      </c>
      <c r="N46" s="45">
        <v>1.17</v>
      </c>
      <c r="O46" s="47">
        <v>0</v>
      </c>
      <c r="P46" s="135"/>
    </row>
    <row r="47" spans="1:16" ht="12.6" customHeight="1">
      <c r="A47" s="59" t="s">
        <v>79</v>
      </c>
      <c r="B47" s="58">
        <v>2017</v>
      </c>
      <c r="C47" s="58">
        <v>3</v>
      </c>
      <c r="D47" s="58">
        <v>55</v>
      </c>
      <c r="E47" s="45">
        <v>5.36</v>
      </c>
      <c r="F47" s="45">
        <v>7.74</v>
      </c>
      <c r="G47" s="45">
        <v>20.63</v>
      </c>
      <c r="H47" s="45">
        <v>174.25</v>
      </c>
      <c r="I47" s="45">
        <v>106</v>
      </c>
      <c r="J47" s="45">
        <v>4.8</v>
      </c>
      <c r="K47" s="45">
        <v>0.12</v>
      </c>
      <c r="L47" s="45">
        <v>0</v>
      </c>
      <c r="M47" s="45">
        <v>0</v>
      </c>
      <c r="N47" s="45">
        <v>0.09</v>
      </c>
      <c r="O47" s="47">
        <v>0</v>
      </c>
      <c r="P47" s="135"/>
    </row>
    <row r="48" spans="1:16" ht="12.6" customHeight="1">
      <c r="A48" s="46" t="s">
        <v>120</v>
      </c>
      <c r="B48" s="58">
        <v>2017</v>
      </c>
      <c r="C48" s="58">
        <v>379</v>
      </c>
      <c r="D48" s="58">
        <v>200</v>
      </c>
      <c r="E48" s="45">
        <v>3.2</v>
      </c>
      <c r="F48" s="45">
        <v>2.7</v>
      </c>
      <c r="G48" s="45">
        <v>15.9</v>
      </c>
      <c r="H48" s="45">
        <v>79</v>
      </c>
      <c r="I48" s="45">
        <v>122</v>
      </c>
      <c r="J48" s="45">
        <v>14</v>
      </c>
      <c r="K48" s="45">
        <v>0.56000000000000005</v>
      </c>
      <c r="L48" s="45">
        <v>90</v>
      </c>
      <c r="M48" s="45">
        <v>0.01</v>
      </c>
      <c r="N48" s="45">
        <v>1.3</v>
      </c>
      <c r="O48" s="47">
        <v>0.01</v>
      </c>
      <c r="P48" s="135"/>
    </row>
    <row r="49" spans="1:16" ht="12.6" customHeight="1">
      <c r="A49" s="46" t="s">
        <v>121</v>
      </c>
      <c r="B49" s="53">
        <v>2017</v>
      </c>
      <c r="C49" s="53">
        <v>338</v>
      </c>
      <c r="D49" s="45">
        <v>75</v>
      </c>
      <c r="E49" s="45">
        <v>0.78</v>
      </c>
      <c r="F49" s="45">
        <v>0</v>
      </c>
      <c r="G49" s="45">
        <v>20.399999999999999</v>
      </c>
      <c r="H49" s="45">
        <v>76</v>
      </c>
      <c r="I49" s="45">
        <v>35</v>
      </c>
      <c r="J49" s="45">
        <v>11</v>
      </c>
      <c r="K49" s="45">
        <v>0.66</v>
      </c>
      <c r="L49" s="45">
        <v>17</v>
      </c>
      <c r="M49" s="45">
        <v>0.1</v>
      </c>
      <c r="N49" s="45">
        <v>38</v>
      </c>
      <c r="O49" s="47">
        <v>0</v>
      </c>
      <c r="P49" s="135"/>
    </row>
    <row r="50" spans="1:16" ht="12.6" customHeight="1">
      <c r="A50" s="68" t="s">
        <v>16</v>
      </c>
      <c r="B50" s="86"/>
      <c r="C50" s="86"/>
      <c r="D50" s="60">
        <v>530</v>
      </c>
      <c r="E50" s="61">
        <f t="shared" ref="E50:O50" si="4">SUM(E46:E49)</f>
        <v>15.639999999999999</v>
      </c>
      <c r="F50" s="61">
        <f t="shared" si="4"/>
        <v>22.24</v>
      </c>
      <c r="G50" s="61">
        <f t="shared" si="4"/>
        <v>93.93</v>
      </c>
      <c r="H50" s="61">
        <f t="shared" si="4"/>
        <v>608.65</v>
      </c>
      <c r="I50" s="61">
        <f t="shared" si="4"/>
        <v>415.76</v>
      </c>
      <c r="J50" s="61">
        <f t="shared" si="4"/>
        <v>29.8</v>
      </c>
      <c r="K50" s="61">
        <f t="shared" si="4"/>
        <v>3.0500000000000003</v>
      </c>
      <c r="L50" s="61">
        <f t="shared" si="4"/>
        <v>107</v>
      </c>
      <c r="M50" s="61">
        <f t="shared" si="4"/>
        <v>0.32</v>
      </c>
      <c r="N50" s="61">
        <f t="shared" si="4"/>
        <v>40.56</v>
      </c>
      <c r="O50" s="62">
        <f t="shared" si="4"/>
        <v>0.01</v>
      </c>
      <c r="P50" s="135"/>
    </row>
    <row r="51" spans="1:16" s="1" customFormat="1">
      <c r="A51" s="138" t="s">
        <v>66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40"/>
      <c r="P51" s="135"/>
    </row>
    <row r="52" spans="1:16" s="1" customFormat="1">
      <c r="A52" s="155" t="s">
        <v>90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7"/>
      <c r="P52" s="135"/>
    </row>
    <row r="53" spans="1:16" s="1" customFormat="1">
      <c r="A53" s="42" t="s">
        <v>122</v>
      </c>
      <c r="B53" s="53">
        <v>2017</v>
      </c>
      <c r="C53" s="53">
        <v>210</v>
      </c>
      <c r="D53" s="58">
        <v>160</v>
      </c>
      <c r="E53" s="45">
        <v>14</v>
      </c>
      <c r="F53" s="45">
        <v>21.75</v>
      </c>
      <c r="G53" s="45">
        <v>3.75</v>
      </c>
      <c r="H53" s="45">
        <v>265</v>
      </c>
      <c r="I53" s="45">
        <v>151</v>
      </c>
      <c r="J53" s="45">
        <v>25.96</v>
      </c>
      <c r="K53" s="45">
        <v>3.91</v>
      </c>
      <c r="L53" s="45">
        <v>346.49</v>
      </c>
      <c r="M53" s="45">
        <v>0.13</v>
      </c>
      <c r="N53" s="45">
        <v>0.33</v>
      </c>
      <c r="O53" s="47">
        <v>452.9</v>
      </c>
      <c r="P53" s="135"/>
    </row>
    <row r="54" spans="1:16" s="1" customFormat="1">
      <c r="A54" s="69" t="s">
        <v>123</v>
      </c>
      <c r="B54" s="44">
        <v>2017</v>
      </c>
      <c r="C54" s="67">
        <v>10</v>
      </c>
      <c r="D54" s="44">
        <v>60</v>
      </c>
      <c r="E54" s="45">
        <v>1.8</v>
      </c>
      <c r="F54" s="45">
        <v>3.11</v>
      </c>
      <c r="G54" s="45">
        <v>3.78</v>
      </c>
      <c r="H54" s="45">
        <v>50.16</v>
      </c>
      <c r="I54" s="45">
        <v>12.87</v>
      </c>
      <c r="J54" s="45">
        <v>12.6</v>
      </c>
      <c r="K54" s="45">
        <v>0.42</v>
      </c>
      <c r="L54" s="45">
        <v>0</v>
      </c>
      <c r="M54" s="45">
        <v>0</v>
      </c>
      <c r="N54" s="45">
        <v>6.6</v>
      </c>
      <c r="O54" s="47">
        <v>0</v>
      </c>
      <c r="P54" s="135"/>
    </row>
    <row r="55" spans="1:16" s="1" customFormat="1" ht="14.45" customHeight="1">
      <c r="A55" s="46" t="s">
        <v>124</v>
      </c>
      <c r="B55" s="58" t="s">
        <v>113</v>
      </c>
      <c r="C55" s="58" t="s">
        <v>113</v>
      </c>
      <c r="D55" s="44">
        <v>40</v>
      </c>
      <c r="E55" s="45">
        <v>3.04</v>
      </c>
      <c r="F55" s="45">
        <v>0.32</v>
      </c>
      <c r="G55" s="45">
        <v>19.68</v>
      </c>
      <c r="H55" s="45">
        <v>94</v>
      </c>
      <c r="I55" s="45">
        <v>7.2</v>
      </c>
      <c r="J55" s="45">
        <v>7.6</v>
      </c>
      <c r="K55" s="45">
        <v>1.6</v>
      </c>
      <c r="L55" s="45">
        <v>34.799999999999997</v>
      </c>
      <c r="M55" s="45">
        <v>0.08</v>
      </c>
      <c r="N55" s="45">
        <v>0</v>
      </c>
      <c r="O55" s="47">
        <v>0</v>
      </c>
      <c r="P55" s="135"/>
    </row>
    <row r="56" spans="1:16" s="1" customFormat="1" ht="14.45" customHeight="1">
      <c r="A56" s="46" t="s">
        <v>105</v>
      </c>
      <c r="B56" s="58">
        <v>2017</v>
      </c>
      <c r="C56" s="58">
        <v>377</v>
      </c>
      <c r="D56" s="44">
        <v>200</v>
      </c>
      <c r="E56" s="45">
        <v>0.1</v>
      </c>
      <c r="F56" s="45">
        <v>0</v>
      </c>
      <c r="G56" s="45">
        <v>15.2</v>
      </c>
      <c r="H56" s="45">
        <v>61</v>
      </c>
      <c r="I56" s="45">
        <v>112.55</v>
      </c>
      <c r="J56" s="45">
        <v>99.08</v>
      </c>
      <c r="K56" s="45">
        <v>18.420000000000002</v>
      </c>
      <c r="L56" s="45">
        <v>185.54</v>
      </c>
      <c r="M56" s="45">
        <v>0.01</v>
      </c>
      <c r="N56" s="45">
        <v>3.67</v>
      </c>
      <c r="O56" s="47">
        <v>0.01</v>
      </c>
      <c r="P56" s="135"/>
    </row>
    <row r="57" spans="1:16" s="1" customFormat="1" ht="14.45" customHeight="1">
      <c r="A57" s="131" t="s">
        <v>126</v>
      </c>
      <c r="B57" s="130">
        <v>2017</v>
      </c>
      <c r="C57" s="130">
        <v>338</v>
      </c>
      <c r="D57" s="44">
        <v>100</v>
      </c>
      <c r="E57" s="45">
        <v>0.4</v>
      </c>
      <c r="F57" s="45">
        <v>0.4</v>
      </c>
      <c r="G57" s="45">
        <v>9.8000000000000007</v>
      </c>
      <c r="H57" s="45">
        <v>47</v>
      </c>
      <c r="I57" s="45">
        <v>10</v>
      </c>
      <c r="J57" s="45">
        <v>0</v>
      </c>
      <c r="K57" s="45">
        <v>2.2000000000000002</v>
      </c>
      <c r="L57" s="45">
        <v>75.8</v>
      </c>
      <c r="M57" s="45">
        <v>0.03</v>
      </c>
      <c r="N57" s="45">
        <v>10</v>
      </c>
      <c r="O57" s="47">
        <v>0</v>
      </c>
      <c r="P57" s="135"/>
    </row>
    <row r="58" spans="1:16" s="1" customFormat="1" ht="15" customHeight="1">
      <c r="A58" s="68" t="s">
        <v>16</v>
      </c>
      <c r="B58" s="86"/>
      <c r="C58" s="86"/>
      <c r="D58" s="60">
        <v>560</v>
      </c>
      <c r="E58" s="61">
        <f>SUM(E53:E57)</f>
        <v>19.34</v>
      </c>
      <c r="F58" s="61">
        <f>SUM(F53:F57)</f>
        <v>25.58</v>
      </c>
      <c r="G58" s="61">
        <f>SUM(G53:G57)</f>
        <v>52.209999999999994</v>
      </c>
      <c r="H58" s="61">
        <f>SUM(H53:H57)</f>
        <v>517.16</v>
      </c>
      <c r="I58" s="61">
        <v>418.38</v>
      </c>
      <c r="J58" s="61">
        <v>59.06</v>
      </c>
      <c r="K58" s="61">
        <v>1.9426086956521742</v>
      </c>
      <c r="L58" s="61">
        <v>202.14782608695651</v>
      </c>
      <c r="M58" s="61">
        <v>0.21043478260869566</v>
      </c>
      <c r="N58" s="61">
        <v>28.975217391304348</v>
      </c>
      <c r="O58" s="62">
        <v>64.433399999999992</v>
      </c>
      <c r="P58" s="135"/>
    </row>
    <row r="59" spans="1:16">
      <c r="A59" s="138" t="s">
        <v>71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40"/>
      <c r="P59" s="135"/>
    </row>
    <row r="60" spans="1:16">
      <c r="A60" s="138" t="s">
        <v>90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40"/>
      <c r="P60" s="135"/>
    </row>
    <row r="61" spans="1:16" ht="13.9" customHeight="1">
      <c r="A61" s="42" t="s">
        <v>127</v>
      </c>
      <c r="B61" s="43">
        <v>2017</v>
      </c>
      <c r="C61" s="43">
        <v>204</v>
      </c>
      <c r="D61" s="44">
        <v>200</v>
      </c>
      <c r="E61" s="58">
        <v>13.5</v>
      </c>
      <c r="F61" s="45">
        <v>145.91999999999999</v>
      </c>
      <c r="G61" s="45">
        <v>34.1</v>
      </c>
      <c r="H61" s="45">
        <v>334.4</v>
      </c>
      <c r="I61" s="45">
        <v>295.2</v>
      </c>
      <c r="J61" s="45">
        <v>14.5</v>
      </c>
      <c r="K61" s="45">
        <v>1.23</v>
      </c>
      <c r="L61" s="45">
        <v>0</v>
      </c>
      <c r="M61" s="45">
        <v>0.08</v>
      </c>
      <c r="N61" s="45">
        <v>0.22</v>
      </c>
      <c r="O61" s="45">
        <v>0</v>
      </c>
      <c r="P61" s="135"/>
    </row>
    <row r="62" spans="1:16" ht="13.9" customHeight="1">
      <c r="A62" s="69" t="s">
        <v>109</v>
      </c>
      <c r="B62" s="56">
        <v>2017</v>
      </c>
      <c r="C62" s="56">
        <v>1</v>
      </c>
      <c r="D62" s="44">
        <v>50</v>
      </c>
      <c r="E62" s="45">
        <v>3.08</v>
      </c>
      <c r="F62" s="45">
        <v>8.41</v>
      </c>
      <c r="G62" s="45">
        <v>20.69</v>
      </c>
      <c r="H62" s="45">
        <v>170.9</v>
      </c>
      <c r="I62" s="45">
        <v>6.3</v>
      </c>
      <c r="J62" s="45">
        <v>4.2</v>
      </c>
      <c r="K62" s="45">
        <v>0.27</v>
      </c>
      <c r="L62" s="45">
        <v>0</v>
      </c>
      <c r="M62" s="45">
        <v>0.02</v>
      </c>
      <c r="N62" s="45">
        <v>30</v>
      </c>
      <c r="O62" s="47">
        <v>0</v>
      </c>
      <c r="P62" s="135"/>
    </row>
    <row r="63" spans="1:16" ht="13.9" customHeight="1">
      <c r="A63" s="49" t="s">
        <v>128</v>
      </c>
      <c r="B63" s="54">
        <v>2017</v>
      </c>
      <c r="C63" s="54">
        <v>350</v>
      </c>
      <c r="D63" s="54">
        <v>200</v>
      </c>
      <c r="E63" s="58">
        <v>1.4</v>
      </c>
      <c r="F63" s="58">
        <v>0</v>
      </c>
      <c r="G63" s="58">
        <v>29</v>
      </c>
      <c r="H63" s="58">
        <v>122</v>
      </c>
      <c r="I63" s="58">
        <v>8.1999999999999993</v>
      </c>
      <c r="J63" s="58">
        <v>0.96</v>
      </c>
      <c r="K63" s="58">
        <v>0.28000000000000003</v>
      </c>
      <c r="L63" s="58">
        <v>0</v>
      </c>
      <c r="M63" s="58">
        <v>0</v>
      </c>
      <c r="N63" s="58">
        <v>80</v>
      </c>
      <c r="O63" s="63">
        <v>0</v>
      </c>
      <c r="P63" s="135"/>
    </row>
    <row r="64" spans="1:16" ht="13.9" customHeight="1">
      <c r="A64" s="46" t="s">
        <v>118</v>
      </c>
      <c r="B64" s="58">
        <v>2017</v>
      </c>
      <c r="C64" s="58">
        <v>847</v>
      </c>
      <c r="D64" s="45">
        <v>100</v>
      </c>
      <c r="E64" s="45">
        <v>0.4</v>
      </c>
      <c r="F64" s="45">
        <v>0.3</v>
      </c>
      <c r="G64" s="45">
        <v>10.3</v>
      </c>
      <c r="H64" s="45">
        <v>47</v>
      </c>
      <c r="I64" s="45">
        <v>8</v>
      </c>
      <c r="J64" s="45">
        <v>0</v>
      </c>
      <c r="K64" s="45">
        <v>2.2000000000000002</v>
      </c>
      <c r="L64" s="45">
        <v>75.8</v>
      </c>
      <c r="M64" s="45">
        <v>0.03</v>
      </c>
      <c r="N64" s="45">
        <v>10</v>
      </c>
      <c r="O64" s="47">
        <v>0</v>
      </c>
      <c r="P64" s="135"/>
    </row>
    <row r="65" spans="1:16" ht="13.9" customHeight="1">
      <c r="A65" s="68" t="s">
        <v>16</v>
      </c>
      <c r="B65" s="86"/>
      <c r="C65" s="86"/>
      <c r="D65" s="60">
        <v>550</v>
      </c>
      <c r="E65" s="61">
        <f t="shared" ref="E65:O65" si="5">SUM(E61:E64)</f>
        <v>18.379999999999995</v>
      </c>
      <c r="F65" s="61">
        <f t="shared" si="5"/>
        <v>154.63</v>
      </c>
      <c r="G65" s="61">
        <f t="shared" si="5"/>
        <v>94.09</v>
      </c>
      <c r="H65" s="61">
        <f t="shared" si="5"/>
        <v>674.3</v>
      </c>
      <c r="I65" s="61">
        <f t="shared" si="5"/>
        <v>317.7</v>
      </c>
      <c r="J65" s="61">
        <f t="shared" si="5"/>
        <v>19.66</v>
      </c>
      <c r="K65" s="61">
        <f t="shared" si="5"/>
        <v>3.9800000000000004</v>
      </c>
      <c r="L65" s="61">
        <f t="shared" si="5"/>
        <v>75.8</v>
      </c>
      <c r="M65" s="61">
        <f t="shared" si="5"/>
        <v>0.13</v>
      </c>
      <c r="N65" s="61">
        <f t="shared" si="5"/>
        <v>120.22</v>
      </c>
      <c r="O65" s="61">
        <f t="shared" si="5"/>
        <v>0</v>
      </c>
      <c r="P65" s="136"/>
    </row>
    <row r="66" spans="1:16">
      <c r="A66" s="138" t="s">
        <v>75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40"/>
      <c r="P66" s="134"/>
    </row>
    <row r="67" spans="1:16">
      <c r="A67" s="138" t="s">
        <v>90</v>
      </c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  <c r="P67" s="135"/>
    </row>
    <row r="68" spans="1:16">
      <c r="A68" s="42" t="s">
        <v>129</v>
      </c>
      <c r="B68" s="43">
        <v>2017</v>
      </c>
      <c r="C68" s="43">
        <v>296</v>
      </c>
      <c r="D68" s="44">
        <v>80</v>
      </c>
      <c r="E68" s="45">
        <v>12</v>
      </c>
      <c r="F68" s="45">
        <v>8.5</v>
      </c>
      <c r="G68" s="45">
        <v>7.4</v>
      </c>
      <c r="H68" s="45">
        <v>150.9</v>
      </c>
      <c r="I68" s="45">
        <v>24.41</v>
      </c>
      <c r="J68" s="45">
        <v>19.22</v>
      </c>
      <c r="K68" s="45">
        <v>1.68</v>
      </c>
      <c r="L68" s="45">
        <v>95.35</v>
      </c>
      <c r="M68" s="45">
        <v>0.05</v>
      </c>
      <c r="N68" s="45">
        <v>4.05</v>
      </c>
      <c r="O68" s="45">
        <v>1.19</v>
      </c>
      <c r="P68" s="135"/>
    </row>
    <row r="69" spans="1:16">
      <c r="A69" s="42" t="s">
        <v>133</v>
      </c>
      <c r="B69" s="43">
        <v>2017</v>
      </c>
      <c r="C69" s="43">
        <v>171</v>
      </c>
      <c r="D69" s="44">
        <v>150</v>
      </c>
      <c r="E69" s="45">
        <v>8.5500000000000007</v>
      </c>
      <c r="F69" s="45">
        <v>7.85</v>
      </c>
      <c r="G69" s="45">
        <v>37.08</v>
      </c>
      <c r="H69" s="45">
        <v>253</v>
      </c>
      <c r="I69" s="45">
        <v>14.7</v>
      </c>
      <c r="J69" s="45">
        <v>1.42</v>
      </c>
      <c r="K69" s="45">
        <v>1.2</v>
      </c>
      <c r="L69" s="45">
        <v>22.15</v>
      </c>
      <c r="M69" s="45">
        <v>0</v>
      </c>
      <c r="N69" s="45">
        <v>0</v>
      </c>
      <c r="O69" s="47">
        <v>1.1499999999999999</v>
      </c>
      <c r="P69" s="135"/>
    </row>
    <row r="70" spans="1:16">
      <c r="A70" s="46" t="s">
        <v>110</v>
      </c>
      <c r="B70" s="43">
        <v>2017</v>
      </c>
      <c r="C70" s="43">
        <v>331</v>
      </c>
      <c r="D70" s="45">
        <v>30</v>
      </c>
      <c r="E70" s="45">
        <v>0.7</v>
      </c>
      <c r="F70" s="45">
        <v>4.2</v>
      </c>
      <c r="G70" s="45">
        <v>1.2</v>
      </c>
      <c r="H70" s="45">
        <v>46</v>
      </c>
      <c r="I70" s="45">
        <v>7</v>
      </c>
      <c r="J70" s="45">
        <v>6.2</v>
      </c>
      <c r="K70" s="45">
        <v>0.08</v>
      </c>
      <c r="L70" s="45">
        <v>0</v>
      </c>
      <c r="M70" s="45">
        <v>0</v>
      </c>
      <c r="N70" s="45">
        <v>0.47</v>
      </c>
      <c r="O70" s="47">
        <v>0</v>
      </c>
      <c r="P70" s="135"/>
    </row>
    <row r="71" spans="1:16" ht="13.9" customHeight="1">
      <c r="A71" s="46" t="s">
        <v>130</v>
      </c>
      <c r="B71" s="43" t="s">
        <v>131</v>
      </c>
      <c r="C71" s="43" t="s">
        <v>132</v>
      </c>
      <c r="D71" s="45">
        <v>40</v>
      </c>
      <c r="E71" s="45">
        <v>3.04</v>
      </c>
      <c r="F71" s="45">
        <v>0.32</v>
      </c>
      <c r="G71" s="45">
        <v>19.68</v>
      </c>
      <c r="H71" s="45">
        <v>94</v>
      </c>
      <c r="I71" s="45">
        <v>7.2</v>
      </c>
      <c r="J71" s="45">
        <v>7.6</v>
      </c>
      <c r="K71" s="45">
        <v>1.6</v>
      </c>
      <c r="L71" s="45">
        <v>34.799999999999997</v>
      </c>
      <c r="M71" s="45">
        <v>0.08</v>
      </c>
      <c r="N71" s="45">
        <v>0</v>
      </c>
      <c r="O71" s="47">
        <v>0</v>
      </c>
      <c r="P71" s="135"/>
    </row>
    <row r="72" spans="1:16">
      <c r="A72" s="46" t="s">
        <v>111</v>
      </c>
      <c r="B72" s="54">
        <v>2017</v>
      </c>
      <c r="C72" s="54">
        <v>382</v>
      </c>
      <c r="D72" s="58">
        <v>200</v>
      </c>
      <c r="E72" s="45">
        <v>3.6</v>
      </c>
      <c r="F72" s="45">
        <v>3.3</v>
      </c>
      <c r="G72" s="45">
        <v>25</v>
      </c>
      <c r="H72" s="45">
        <v>144</v>
      </c>
      <c r="I72" s="45">
        <v>122</v>
      </c>
      <c r="J72" s="45">
        <v>14</v>
      </c>
      <c r="K72" s="45">
        <v>0.56000000000000005</v>
      </c>
      <c r="L72" s="45">
        <v>90</v>
      </c>
      <c r="M72" s="45">
        <v>0.04</v>
      </c>
      <c r="N72" s="45">
        <v>1.3</v>
      </c>
      <c r="O72" s="47">
        <v>0.01</v>
      </c>
      <c r="P72" s="135"/>
    </row>
    <row r="73" spans="1:16">
      <c r="A73" s="68" t="s">
        <v>16</v>
      </c>
      <c r="B73" s="86"/>
      <c r="C73" s="86"/>
      <c r="D73" s="61">
        <v>500</v>
      </c>
      <c r="E73" s="61">
        <f>SUM(E68:E72)</f>
        <v>27.89</v>
      </c>
      <c r="F73" s="61">
        <f>SUM(F68:F72)</f>
        <v>24.17</v>
      </c>
      <c r="G73" s="61">
        <f>SUM(G68:G72)</f>
        <v>90.36</v>
      </c>
      <c r="H73" s="61">
        <f>SUM(H68:H72)</f>
        <v>687.9</v>
      </c>
      <c r="I73" s="61">
        <v>471.31999999999994</v>
      </c>
      <c r="J73" s="61">
        <f>SUM(J68:J72)</f>
        <v>48.44</v>
      </c>
      <c r="K73" s="61">
        <f>SUM(K68:K72)</f>
        <v>5.120000000000001</v>
      </c>
      <c r="L73" s="61">
        <v>293.37</v>
      </c>
      <c r="M73" s="61">
        <v>0.41000000000000003</v>
      </c>
      <c r="N73" s="61">
        <v>1.8049999999999999</v>
      </c>
      <c r="O73" s="62">
        <v>78.330000000000013</v>
      </c>
      <c r="P73" s="136"/>
    </row>
    <row r="74" spans="1:16" s="1" customFormat="1">
      <c r="A74" s="138" t="s">
        <v>77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  <c r="P74" s="134"/>
    </row>
    <row r="75" spans="1:16" s="1" customFormat="1">
      <c r="A75" s="138" t="s">
        <v>93</v>
      </c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40"/>
      <c r="P75" s="135"/>
    </row>
    <row r="76" spans="1:16" s="1" customFormat="1" ht="14.45" customHeight="1">
      <c r="A76" s="42" t="s">
        <v>134</v>
      </c>
      <c r="B76" s="53">
        <v>2017</v>
      </c>
      <c r="C76" s="53">
        <v>182</v>
      </c>
      <c r="D76" s="58">
        <v>250</v>
      </c>
      <c r="E76" s="45">
        <v>7.7</v>
      </c>
      <c r="F76" s="45">
        <v>10.3</v>
      </c>
      <c r="G76" s="45">
        <v>37.9</v>
      </c>
      <c r="H76" s="45">
        <v>278</v>
      </c>
      <c r="I76" s="45">
        <v>162.13999999999999</v>
      </c>
      <c r="J76" s="45">
        <v>24.14</v>
      </c>
      <c r="K76" s="45">
        <v>0.5</v>
      </c>
      <c r="L76" s="45">
        <v>0</v>
      </c>
      <c r="M76" s="45">
        <v>0.09</v>
      </c>
      <c r="N76" s="45">
        <v>0.68</v>
      </c>
      <c r="O76" s="47">
        <v>0</v>
      </c>
      <c r="P76" s="135"/>
    </row>
    <row r="77" spans="1:16" s="1" customFormat="1" ht="14.45" customHeight="1">
      <c r="A77" s="46" t="s">
        <v>96</v>
      </c>
      <c r="B77" s="58">
        <v>2017</v>
      </c>
      <c r="C77" s="58">
        <v>2</v>
      </c>
      <c r="D77" s="44">
        <v>60</v>
      </c>
      <c r="E77" s="45">
        <v>1.7</v>
      </c>
      <c r="F77" s="45">
        <v>4.3</v>
      </c>
      <c r="G77" s="45">
        <v>32.6</v>
      </c>
      <c r="H77" s="45">
        <v>176</v>
      </c>
      <c r="I77" s="45">
        <v>10</v>
      </c>
      <c r="J77" s="45">
        <v>0</v>
      </c>
      <c r="K77" s="45">
        <v>0.6</v>
      </c>
      <c r="L77" s="45">
        <v>0</v>
      </c>
      <c r="M77" s="45">
        <v>0.04</v>
      </c>
      <c r="N77" s="45">
        <v>0.1</v>
      </c>
      <c r="O77" s="47">
        <v>0</v>
      </c>
      <c r="P77" s="135"/>
    </row>
    <row r="78" spans="1:16" s="1" customFormat="1" ht="14.45" customHeight="1">
      <c r="A78" s="69" t="s">
        <v>14</v>
      </c>
      <c r="B78" s="45">
        <v>2017</v>
      </c>
      <c r="C78" s="45">
        <v>376</v>
      </c>
      <c r="D78" s="44">
        <v>200</v>
      </c>
      <c r="E78" s="45">
        <v>7.0000000000000007E-2</v>
      </c>
      <c r="F78" s="45">
        <v>0.02</v>
      </c>
      <c r="G78" s="45">
        <v>15</v>
      </c>
      <c r="H78" s="45">
        <v>60</v>
      </c>
      <c r="I78" s="45">
        <v>11.1</v>
      </c>
      <c r="J78" s="45">
        <v>1.4</v>
      </c>
      <c r="K78" s="45">
        <v>0.28000000000000003</v>
      </c>
      <c r="L78" s="45">
        <v>0</v>
      </c>
      <c r="M78" s="45">
        <v>0</v>
      </c>
      <c r="N78" s="45">
        <v>0.3</v>
      </c>
      <c r="O78" s="47">
        <v>0</v>
      </c>
      <c r="P78" s="135"/>
    </row>
    <row r="79" spans="1:16" s="1" customFormat="1">
      <c r="A79" s="49" t="s">
        <v>125</v>
      </c>
      <c r="B79" s="54">
        <v>2017</v>
      </c>
      <c r="C79" s="54">
        <v>338</v>
      </c>
      <c r="D79" s="54">
        <v>100</v>
      </c>
      <c r="E79" s="58">
        <v>0.4</v>
      </c>
      <c r="F79" s="58">
        <v>0.4</v>
      </c>
      <c r="G79" s="58">
        <v>9.8000000000000007</v>
      </c>
      <c r="H79" s="58">
        <v>47</v>
      </c>
      <c r="I79" s="58">
        <v>10</v>
      </c>
      <c r="J79" s="58">
        <v>0</v>
      </c>
      <c r="K79" s="58">
        <v>2.2000000000000002</v>
      </c>
      <c r="L79" s="58">
        <v>75.8</v>
      </c>
      <c r="M79" s="58">
        <v>0.03</v>
      </c>
      <c r="N79" s="58">
        <v>10</v>
      </c>
      <c r="O79" s="63">
        <v>0</v>
      </c>
      <c r="P79" s="135"/>
    </row>
    <row r="80" spans="1:16" s="1" customFormat="1">
      <c r="A80" s="57" t="s">
        <v>16</v>
      </c>
      <c r="B80" s="85"/>
      <c r="C80" s="85"/>
      <c r="D80" s="70">
        <f t="shared" ref="D80" si="6">SUM(D76:D79)</f>
        <v>610</v>
      </c>
      <c r="E80" s="128">
        <f>SUM(E76:E79)</f>
        <v>9.870000000000001</v>
      </c>
      <c r="F80" s="61">
        <f>SUM(F76:F79)</f>
        <v>15.020000000000001</v>
      </c>
      <c r="G80" s="61">
        <f>SUM(G76:G79)</f>
        <v>95.3</v>
      </c>
      <c r="H80" s="61">
        <f>SUM(H76:H79)</f>
        <v>561</v>
      </c>
      <c r="I80" s="61">
        <f t="shared" ref="I80:O80" si="7">SUM(I76:I79)</f>
        <v>193.23999999999998</v>
      </c>
      <c r="J80" s="61">
        <f t="shared" si="7"/>
        <v>25.54</v>
      </c>
      <c r="K80" s="61">
        <f t="shared" si="7"/>
        <v>3.58</v>
      </c>
      <c r="L80" s="61">
        <f t="shared" si="7"/>
        <v>75.8</v>
      </c>
      <c r="M80" s="61">
        <f t="shared" si="7"/>
        <v>0.16</v>
      </c>
      <c r="N80" s="61">
        <f t="shared" si="7"/>
        <v>11.08</v>
      </c>
      <c r="O80" s="62">
        <f t="shared" si="7"/>
        <v>0</v>
      </c>
      <c r="P80" s="135"/>
    </row>
    <row r="81" spans="1:16">
      <c r="A81" s="81" t="s">
        <v>94</v>
      </c>
      <c r="B81" s="71"/>
      <c r="C81" s="84" t="s">
        <v>102</v>
      </c>
      <c r="D81" s="82">
        <v>2750</v>
      </c>
      <c r="E81" s="82">
        <v>91.12</v>
      </c>
      <c r="F81" s="82">
        <v>241.64</v>
      </c>
      <c r="G81" s="82">
        <v>425.89</v>
      </c>
      <c r="H81" s="82">
        <v>3049.01</v>
      </c>
      <c r="I81" s="82">
        <v>1816.4</v>
      </c>
      <c r="J81" s="82">
        <v>182.5</v>
      </c>
      <c r="K81" s="82">
        <v>17.670000000000002</v>
      </c>
      <c r="L81" s="82">
        <v>754.12</v>
      </c>
      <c r="M81" s="82">
        <v>1.23</v>
      </c>
      <c r="N81" s="82">
        <v>202.65</v>
      </c>
      <c r="O81" s="82">
        <v>142.77000000000001</v>
      </c>
      <c r="P81" s="135"/>
    </row>
    <row r="82" spans="1:16">
      <c r="A82" s="83" t="s">
        <v>78</v>
      </c>
      <c r="B82" s="84"/>
      <c r="C82" s="84"/>
      <c r="D82" s="84">
        <v>5370</v>
      </c>
      <c r="E82" s="84">
        <v>195.46</v>
      </c>
      <c r="F82" s="84">
        <v>359.7</v>
      </c>
      <c r="G82" s="84">
        <v>886.07</v>
      </c>
      <c r="H82" s="84">
        <v>6456.03</v>
      </c>
      <c r="I82" s="84">
        <v>2365.33</v>
      </c>
      <c r="J82" s="84">
        <v>334.06</v>
      </c>
      <c r="K82" s="84">
        <v>26.1</v>
      </c>
      <c r="L82" s="84">
        <v>1310.47</v>
      </c>
      <c r="M82" s="84">
        <v>1.95</v>
      </c>
      <c r="N82" s="84">
        <v>236.44</v>
      </c>
      <c r="O82" s="84">
        <v>519.04</v>
      </c>
      <c r="P82" s="135"/>
    </row>
    <row r="83" spans="1:16" ht="76.5">
      <c r="A83" s="133" t="s">
        <v>101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5"/>
    </row>
    <row r="84" spans="1:16" ht="15.6" customHeight="1">
      <c r="P84" s="135"/>
    </row>
    <row r="85" spans="1:16">
      <c r="P85" s="135"/>
    </row>
    <row r="86" spans="1:16">
      <c r="P86" s="135"/>
    </row>
    <row r="87" spans="1:16">
      <c r="P87" s="135"/>
    </row>
    <row r="88" spans="1:16">
      <c r="P88" s="135"/>
    </row>
    <row r="89" spans="1:16">
      <c r="P89" s="135"/>
    </row>
    <row r="90" spans="1:16">
      <c r="P90" s="135"/>
    </row>
    <row r="91" spans="1:16" s="75" customFormat="1">
      <c r="A91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136"/>
    </row>
    <row r="92" spans="1:16" s="75" customFormat="1">
      <c r="A92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73"/>
    </row>
    <row r="93" spans="1:16" s="75" customFormat="1">
      <c r="A93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73"/>
    </row>
    <row r="94" spans="1:16" ht="13.9" customHeight="1">
      <c r="P94" s="133"/>
    </row>
  </sheetData>
  <mergeCells count="38">
    <mergeCell ref="A75:O75"/>
    <mergeCell ref="A66:O66"/>
    <mergeCell ref="A67:O67"/>
    <mergeCell ref="A74:O74"/>
    <mergeCell ref="A60:O60"/>
    <mergeCell ref="A59:O59"/>
    <mergeCell ref="A44:O44"/>
    <mergeCell ref="A45:O45"/>
    <mergeCell ref="A52:O52"/>
    <mergeCell ref="A51:O51"/>
    <mergeCell ref="P43:P50"/>
    <mergeCell ref="P37:P42"/>
    <mergeCell ref="P16:P29"/>
    <mergeCell ref="P30:P36"/>
    <mergeCell ref="A38:O38"/>
    <mergeCell ref="A30:O30"/>
    <mergeCell ref="A31:O31"/>
    <mergeCell ref="A37:O37"/>
    <mergeCell ref="A2:P3"/>
    <mergeCell ref="A23:O23"/>
    <mergeCell ref="A22:O22"/>
    <mergeCell ref="A4:A5"/>
    <mergeCell ref="D4:D5"/>
    <mergeCell ref="P8:P13"/>
    <mergeCell ref="A6:O6"/>
    <mergeCell ref="A7:O7"/>
    <mergeCell ref="A14:O14"/>
    <mergeCell ref="A15:O15"/>
    <mergeCell ref="B4:B5"/>
    <mergeCell ref="C4:C5"/>
    <mergeCell ref="E4:H4"/>
    <mergeCell ref="I4:L4"/>
    <mergeCell ref="M4:O4"/>
    <mergeCell ref="P74:P80"/>
    <mergeCell ref="P81:P91"/>
    <mergeCell ref="P59:P65"/>
    <mergeCell ref="P66:P73"/>
    <mergeCell ref="P51:P58"/>
  </mergeCells>
  <pageMargins left="0.51181102362204722" right="0.31496062992125984" top="0.51181102362204722" bottom="0.43307086614173229" header="0.31496062992125984" footer="0.31496062992125984"/>
  <pageSetup paperSize="9" scale="76" orientation="landscape" r:id="rId1"/>
  <rowBreaks count="2" manualBreakCount="2">
    <brk id="38" max="15" man="1"/>
    <brk id="8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225"/>
  <sheetViews>
    <sheetView view="pageBreakPreview" topLeftCell="A136" zoomScaleSheetLayoutView="100" workbookViewId="0">
      <selection activeCell="A157" sqref="A157:O157"/>
    </sheetView>
  </sheetViews>
  <sheetFormatPr defaultRowHeight="15"/>
  <cols>
    <col min="1" max="1" width="47.140625" style="112" customWidth="1"/>
    <col min="2" max="2" width="13.42578125" style="89" customWidth="1"/>
    <col min="3" max="3" width="10.5703125" style="89" customWidth="1"/>
    <col min="4" max="4" width="8.140625" style="89" customWidth="1"/>
    <col min="5" max="6" width="7.7109375" style="89" customWidth="1"/>
    <col min="7" max="7" width="8" style="89" customWidth="1"/>
    <col min="8" max="8" width="8.85546875" style="89"/>
    <col min="9" max="9" width="8.140625" style="89" customWidth="1"/>
    <col min="10" max="10" width="8.85546875" style="89"/>
    <col min="11" max="11" width="7.42578125" style="89" customWidth="1"/>
    <col min="12" max="12" width="8.140625" style="89" customWidth="1"/>
    <col min="13" max="14" width="7.5703125" style="89" customWidth="1"/>
    <col min="15" max="15" width="7.85546875" style="89" customWidth="1"/>
    <col min="16" max="16" width="3.28515625" style="75" customWidth="1"/>
  </cols>
  <sheetData>
    <row r="1" spans="1:18" s="76" customFormat="1" ht="22.15" customHeight="1">
      <c r="A1" s="137" t="s">
        <v>100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8" s="76" customFormat="1" ht="15.6" customHeigh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8" ht="0.6" customHeigh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8" ht="7.9" customHeight="1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8" ht="15.6" customHeight="1">
      <c r="A5" s="160" t="s">
        <v>82</v>
      </c>
      <c r="B5" s="161" t="s">
        <v>81</v>
      </c>
      <c r="C5" s="161" t="s">
        <v>99</v>
      </c>
      <c r="D5" s="161" t="s">
        <v>83</v>
      </c>
      <c r="E5" s="160" t="s">
        <v>84</v>
      </c>
      <c r="F5" s="160"/>
      <c r="G5" s="160"/>
      <c r="H5" s="160"/>
      <c r="I5" s="160" t="s">
        <v>85</v>
      </c>
      <c r="J5" s="160"/>
      <c r="K5" s="160"/>
      <c r="L5" s="160"/>
      <c r="M5" s="160" t="s">
        <v>86</v>
      </c>
      <c r="N5" s="160"/>
      <c r="O5" s="160"/>
      <c r="P5" s="73"/>
    </row>
    <row r="6" spans="1:18" ht="70.900000000000006" customHeight="1">
      <c r="A6" s="160"/>
      <c r="B6" s="161"/>
      <c r="C6" s="161"/>
      <c r="D6" s="161"/>
      <c r="E6" s="72" t="s">
        <v>1</v>
      </c>
      <c r="F6" s="72" t="s">
        <v>2</v>
      </c>
      <c r="G6" s="72" t="s">
        <v>3</v>
      </c>
      <c r="H6" s="72" t="s">
        <v>4</v>
      </c>
      <c r="I6" s="72" t="s">
        <v>5</v>
      </c>
      <c r="J6" s="72" t="s">
        <v>6</v>
      </c>
      <c r="K6" s="72" t="s">
        <v>7</v>
      </c>
      <c r="L6" s="72" t="s">
        <v>8</v>
      </c>
      <c r="M6" s="72" t="s">
        <v>9</v>
      </c>
      <c r="N6" s="72" t="s">
        <v>10</v>
      </c>
      <c r="O6" s="72" t="s">
        <v>11</v>
      </c>
      <c r="P6" s="73"/>
    </row>
    <row r="7" spans="1:18" s="75" customFormat="1" ht="13.9" customHeight="1">
      <c r="A7" s="163" t="s">
        <v>25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5"/>
      <c r="P7" s="162" t="s">
        <v>25</v>
      </c>
      <c r="Q7" s="73"/>
      <c r="R7" s="73"/>
    </row>
    <row r="8" spans="1:18" s="75" customFormat="1" ht="13.9" customHeight="1">
      <c r="A8" s="163" t="s">
        <v>90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5"/>
      <c r="P8" s="162"/>
      <c r="Q8" s="73"/>
      <c r="R8" s="73"/>
    </row>
    <row r="9" spans="1:18" ht="26.45" customHeight="1">
      <c r="A9" s="98" t="s">
        <v>0</v>
      </c>
      <c r="B9" s="29">
        <v>2017</v>
      </c>
      <c r="C9" s="29">
        <v>173</v>
      </c>
      <c r="D9" s="37">
        <v>260</v>
      </c>
      <c r="E9" s="4">
        <v>10.29</v>
      </c>
      <c r="F9" s="4">
        <v>14.18</v>
      </c>
      <c r="G9" s="4">
        <v>27.39</v>
      </c>
      <c r="H9" s="4">
        <v>271.49</v>
      </c>
      <c r="I9" s="4">
        <v>196.42380952380952</v>
      </c>
      <c r="J9" s="4">
        <v>89.204761904761909</v>
      </c>
      <c r="K9" s="4">
        <v>1.7457142857142856</v>
      </c>
      <c r="L9" s="4">
        <v>82.172380952380962</v>
      </c>
      <c r="M9" s="4">
        <v>0.26</v>
      </c>
      <c r="N9" s="4">
        <v>0.65619047619047621</v>
      </c>
      <c r="O9" s="4">
        <v>21.877142857142861</v>
      </c>
      <c r="P9" s="162"/>
      <c r="Q9" s="9"/>
      <c r="R9" s="9"/>
    </row>
    <row r="10" spans="1:18" ht="14.45" customHeight="1">
      <c r="A10" s="36" t="s">
        <v>12</v>
      </c>
      <c r="B10" s="29">
        <v>2017</v>
      </c>
      <c r="C10" s="29">
        <v>15</v>
      </c>
      <c r="D10" s="37">
        <v>15</v>
      </c>
      <c r="E10" s="4">
        <v>3.48</v>
      </c>
      <c r="F10" s="4">
        <v>4.43</v>
      </c>
      <c r="G10" s="4">
        <v>0</v>
      </c>
      <c r="H10" s="4">
        <v>54.6</v>
      </c>
      <c r="I10" s="4">
        <v>132</v>
      </c>
      <c r="J10" s="4">
        <v>5.25</v>
      </c>
      <c r="K10" s="4">
        <v>0.15</v>
      </c>
      <c r="L10" s="4">
        <v>75</v>
      </c>
      <c r="M10" s="4">
        <v>0.01</v>
      </c>
      <c r="N10" s="4">
        <v>0.11</v>
      </c>
      <c r="O10" s="5">
        <v>39</v>
      </c>
      <c r="P10" s="162"/>
      <c r="Q10" s="9"/>
      <c r="R10" s="9"/>
    </row>
    <row r="11" spans="1:18" ht="14.45" customHeight="1">
      <c r="A11" s="36" t="s">
        <v>13</v>
      </c>
      <c r="B11" s="29" t="s">
        <v>80</v>
      </c>
      <c r="C11" s="29" t="s">
        <v>80</v>
      </c>
      <c r="D11" s="37">
        <v>60</v>
      </c>
      <c r="E11" s="4">
        <v>4.74</v>
      </c>
      <c r="F11" s="4">
        <v>0.6</v>
      </c>
      <c r="G11" s="4">
        <v>28.98</v>
      </c>
      <c r="H11" s="4">
        <v>140.28</v>
      </c>
      <c r="I11" s="4">
        <v>13.8</v>
      </c>
      <c r="J11" s="4">
        <v>19.8</v>
      </c>
      <c r="K11" s="4">
        <v>0.66</v>
      </c>
      <c r="L11" s="4">
        <v>52.2</v>
      </c>
      <c r="M11" s="4">
        <v>0.1</v>
      </c>
      <c r="N11" s="4">
        <v>0</v>
      </c>
      <c r="O11" s="5">
        <v>0</v>
      </c>
      <c r="P11" s="162"/>
      <c r="Q11" s="9"/>
      <c r="R11" s="9"/>
    </row>
    <row r="12" spans="1:18" ht="14.45" customHeight="1">
      <c r="A12" s="36" t="s">
        <v>14</v>
      </c>
      <c r="B12" s="30">
        <v>2017</v>
      </c>
      <c r="C12" s="30">
        <v>376</v>
      </c>
      <c r="D12" s="37">
        <v>200</v>
      </c>
      <c r="E12" s="4">
        <v>0.2</v>
      </c>
      <c r="F12" s="4">
        <v>0</v>
      </c>
      <c r="G12" s="4">
        <v>14</v>
      </c>
      <c r="H12" s="4">
        <v>28</v>
      </c>
      <c r="I12" s="4">
        <v>6</v>
      </c>
      <c r="J12" s="4">
        <v>0</v>
      </c>
      <c r="K12" s="4">
        <v>0.4</v>
      </c>
      <c r="L12" s="4">
        <v>0</v>
      </c>
      <c r="M12" s="4">
        <v>0</v>
      </c>
      <c r="N12" s="4">
        <v>0</v>
      </c>
      <c r="O12" s="4">
        <v>0</v>
      </c>
      <c r="P12" s="162"/>
      <c r="Q12" s="9"/>
      <c r="R12" s="9"/>
    </row>
    <row r="13" spans="1:18" ht="14.45" customHeight="1">
      <c r="A13" s="91" t="s">
        <v>29</v>
      </c>
      <c r="B13" s="29" t="s">
        <v>80</v>
      </c>
      <c r="C13" s="29" t="s">
        <v>80</v>
      </c>
      <c r="D13" s="92">
        <v>20</v>
      </c>
      <c r="E13" s="4">
        <v>0.1</v>
      </c>
      <c r="F13" s="4">
        <v>0</v>
      </c>
      <c r="G13" s="4">
        <v>14.32</v>
      </c>
      <c r="H13" s="4">
        <v>57.68</v>
      </c>
      <c r="I13" s="4">
        <v>2.4</v>
      </c>
      <c r="J13" s="4">
        <v>1.8</v>
      </c>
      <c r="K13" s="4">
        <v>0.08</v>
      </c>
      <c r="L13" s="4">
        <v>3.6</v>
      </c>
      <c r="M13" s="4">
        <v>0</v>
      </c>
      <c r="N13" s="4">
        <v>0.48</v>
      </c>
      <c r="O13" s="4">
        <v>0</v>
      </c>
      <c r="P13" s="162"/>
      <c r="Q13" s="9"/>
      <c r="R13" s="9"/>
    </row>
    <row r="14" spans="1:18" ht="14.45" customHeight="1">
      <c r="A14" s="110" t="s">
        <v>16</v>
      </c>
      <c r="B14" s="93"/>
      <c r="C14" s="93"/>
      <c r="D14" s="20">
        <v>555</v>
      </c>
      <c r="E14" s="13">
        <f>SUM(E9:E13)</f>
        <v>18.809999999999999</v>
      </c>
      <c r="F14" s="13">
        <f>SUM(F9:F13)</f>
        <v>19.21</v>
      </c>
      <c r="G14" s="13">
        <f>SUM(G9:G13)</f>
        <v>84.69</v>
      </c>
      <c r="H14" s="13">
        <f t="shared" ref="H14:O14" si="0">SUM(H9:H13)</f>
        <v>552.04999999999995</v>
      </c>
      <c r="I14" s="13">
        <f t="shared" si="0"/>
        <v>350.62380952380948</v>
      </c>
      <c r="J14" s="13">
        <f t="shared" si="0"/>
        <v>116.0547619047619</v>
      </c>
      <c r="K14" s="13">
        <f t="shared" si="0"/>
        <v>3.0357142857142856</v>
      </c>
      <c r="L14" s="13">
        <f t="shared" si="0"/>
        <v>212.97238095238097</v>
      </c>
      <c r="M14" s="13">
        <f t="shared" si="0"/>
        <v>0.37</v>
      </c>
      <c r="N14" s="13">
        <f t="shared" si="0"/>
        <v>1.2461904761904763</v>
      </c>
      <c r="O14" s="15">
        <f t="shared" si="0"/>
        <v>60.877142857142857</v>
      </c>
      <c r="P14" s="162"/>
      <c r="Q14" s="9"/>
      <c r="R14" s="9"/>
    </row>
    <row r="15" spans="1:18" ht="14.45" customHeight="1">
      <c r="A15" s="179" t="s">
        <v>91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80"/>
      <c r="P15" s="162"/>
      <c r="Q15" s="9"/>
      <c r="R15" s="9"/>
    </row>
    <row r="16" spans="1:18" ht="14.45" customHeight="1">
      <c r="A16" s="16" t="s">
        <v>58</v>
      </c>
      <c r="B16" s="10">
        <v>2017</v>
      </c>
      <c r="C16" s="10">
        <v>102</v>
      </c>
      <c r="D16" s="32">
        <v>250</v>
      </c>
      <c r="E16" s="4">
        <v>5.49</v>
      </c>
      <c r="F16" s="4">
        <v>5.28</v>
      </c>
      <c r="G16" s="4">
        <v>16.329999999999998</v>
      </c>
      <c r="H16" s="4">
        <v>134.75</v>
      </c>
      <c r="I16" s="4">
        <v>38.08</v>
      </c>
      <c r="J16" s="4">
        <v>35.299999999999997</v>
      </c>
      <c r="K16" s="4">
        <v>2.0299999999999998</v>
      </c>
      <c r="L16" s="4">
        <v>87.18</v>
      </c>
      <c r="M16" s="4">
        <v>0.08</v>
      </c>
      <c r="N16" s="4">
        <v>5.81</v>
      </c>
      <c r="O16" s="5">
        <v>0</v>
      </c>
      <c r="P16" s="162"/>
      <c r="Q16" s="9"/>
      <c r="R16" s="9"/>
    </row>
    <row r="17" spans="1:18" ht="14.45" customHeight="1">
      <c r="A17" s="16" t="s">
        <v>17</v>
      </c>
      <c r="B17" s="29">
        <v>2017</v>
      </c>
      <c r="C17" s="10">
        <v>288</v>
      </c>
      <c r="D17" s="32">
        <v>10</v>
      </c>
      <c r="E17" s="4">
        <v>2.11</v>
      </c>
      <c r="F17" s="4">
        <v>1.36</v>
      </c>
      <c r="G17" s="4">
        <v>0</v>
      </c>
      <c r="H17" s="4">
        <v>20.67</v>
      </c>
      <c r="I17" s="4">
        <v>3.9</v>
      </c>
      <c r="J17" s="4">
        <v>2</v>
      </c>
      <c r="K17" s="4">
        <v>0.18</v>
      </c>
      <c r="L17" s="4">
        <v>14.3</v>
      </c>
      <c r="M17" s="4">
        <v>0.04</v>
      </c>
      <c r="N17" s="4">
        <v>0</v>
      </c>
      <c r="O17" s="5">
        <v>2.2799999999999998</v>
      </c>
      <c r="P17" s="162"/>
      <c r="Q17" s="9"/>
      <c r="R17" s="9"/>
    </row>
    <row r="18" spans="1:18" ht="14.45" customHeight="1">
      <c r="A18" s="16" t="s">
        <v>18</v>
      </c>
      <c r="B18" s="10">
        <v>2017</v>
      </c>
      <c r="C18" s="10">
        <v>255</v>
      </c>
      <c r="D18" s="32">
        <v>100</v>
      </c>
      <c r="E18" s="4">
        <v>10.130000000000001</v>
      </c>
      <c r="F18" s="4">
        <v>11.23</v>
      </c>
      <c r="G18" s="4">
        <v>3.9</v>
      </c>
      <c r="H18" s="4">
        <v>163.41999999999999</v>
      </c>
      <c r="I18" s="4">
        <v>38.24</v>
      </c>
      <c r="J18" s="4">
        <v>17.47</v>
      </c>
      <c r="K18" s="4">
        <v>4.7444444444444436</v>
      </c>
      <c r="L18" s="4">
        <v>239.32</v>
      </c>
      <c r="M18" s="4">
        <v>0.2</v>
      </c>
      <c r="N18" s="4">
        <v>4.12</v>
      </c>
      <c r="O18" s="5">
        <v>366.51</v>
      </c>
      <c r="P18" s="162"/>
      <c r="Q18" s="9"/>
      <c r="R18" s="9"/>
    </row>
    <row r="19" spans="1:18" ht="14.45" customHeight="1">
      <c r="A19" s="16" t="s">
        <v>19</v>
      </c>
      <c r="B19" s="33">
        <v>2017</v>
      </c>
      <c r="C19" s="33">
        <v>302</v>
      </c>
      <c r="D19" s="32">
        <v>200</v>
      </c>
      <c r="E19" s="4">
        <v>5.0999999999999996</v>
      </c>
      <c r="F19" s="4">
        <f>5.17*200/150</f>
        <v>6.8933333333333335</v>
      </c>
      <c r="G19" s="4">
        <v>47.76</v>
      </c>
      <c r="H19" s="4">
        <v>261.54000000000002</v>
      </c>
      <c r="I19" s="4">
        <v>17.306666666666668</v>
      </c>
      <c r="J19" s="4">
        <v>43.333333333333336</v>
      </c>
      <c r="K19" s="4">
        <v>5.2666666666666666</v>
      </c>
      <c r="L19" s="4">
        <v>144.66666666666666</v>
      </c>
      <c r="M19" s="4">
        <v>0.13333333333333333</v>
      </c>
      <c r="N19" s="4">
        <v>0</v>
      </c>
      <c r="O19" s="5">
        <v>2.6666666666666668E-2</v>
      </c>
      <c r="P19" s="162"/>
      <c r="Q19" s="9"/>
      <c r="R19" s="9"/>
    </row>
    <row r="20" spans="1:18" ht="14.45" customHeight="1">
      <c r="A20" s="98" t="s">
        <v>20</v>
      </c>
      <c r="B20" s="10">
        <v>2017</v>
      </c>
      <c r="C20" s="10">
        <v>71</v>
      </c>
      <c r="D20" s="102">
        <v>60</v>
      </c>
      <c r="E20" s="18">
        <v>2.16</v>
      </c>
      <c r="F20" s="18">
        <v>4.04</v>
      </c>
      <c r="G20" s="18">
        <v>1.01</v>
      </c>
      <c r="H20" s="18">
        <v>48.79</v>
      </c>
      <c r="I20" s="18">
        <v>13.8</v>
      </c>
      <c r="J20" s="18">
        <v>7</v>
      </c>
      <c r="K20" s="18">
        <v>0.42</v>
      </c>
      <c r="L20" s="18">
        <v>12</v>
      </c>
      <c r="M20" s="18">
        <v>0</v>
      </c>
      <c r="N20" s="18">
        <v>14.4</v>
      </c>
      <c r="O20" s="19">
        <v>0</v>
      </c>
      <c r="P20" s="162"/>
      <c r="Q20" s="9"/>
      <c r="R20" s="9"/>
    </row>
    <row r="21" spans="1:18" ht="14.45" customHeight="1">
      <c r="A21" s="98" t="s">
        <v>21</v>
      </c>
      <c r="B21" s="30" t="s">
        <v>80</v>
      </c>
      <c r="C21" s="29" t="s">
        <v>80</v>
      </c>
      <c r="D21" s="94">
        <v>20</v>
      </c>
      <c r="E21" s="4">
        <v>1.58</v>
      </c>
      <c r="F21" s="4">
        <v>0.2</v>
      </c>
      <c r="G21" s="4">
        <v>9.66</v>
      </c>
      <c r="H21" s="4">
        <v>46.76</v>
      </c>
      <c r="I21" s="4">
        <v>4.5999999999999996</v>
      </c>
      <c r="J21" s="4">
        <v>6.6</v>
      </c>
      <c r="K21" s="4">
        <v>0.22</v>
      </c>
      <c r="L21" s="4">
        <v>17.399999999999999</v>
      </c>
      <c r="M21" s="4">
        <v>0.08</v>
      </c>
      <c r="N21" s="4">
        <v>0</v>
      </c>
      <c r="O21" s="5">
        <v>0</v>
      </c>
      <c r="P21" s="162"/>
      <c r="Q21" s="9"/>
      <c r="R21" s="9"/>
    </row>
    <row r="22" spans="1:18" ht="14.45" customHeight="1">
      <c r="A22" s="98" t="s">
        <v>22</v>
      </c>
      <c r="B22" s="30" t="s">
        <v>80</v>
      </c>
      <c r="C22" s="29" t="s">
        <v>80</v>
      </c>
      <c r="D22" s="95">
        <v>40</v>
      </c>
      <c r="E22" s="4">
        <v>2.2400000000000002</v>
      </c>
      <c r="F22" s="4">
        <v>0.44</v>
      </c>
      <c r="G22" s="4">
        <v>19.760000000000002</v>
      </c>
      <c r="H22" s="4">
        <v>91.96</v>
      </c>
      <c r="I22" s="4">
        <v>9.1999999999999993</v>
      </c>
      <c r="J22" s="4">
        <v>10</v>
      </c>
      <c r="K22" s="4">
        <v>1.24</v>
      </c>
      <c r="L22" s="4">
        <v>42.4</v>
      </c>
      <c r="M22" s="4">
        <v>0.04</v>
      </c>
      <c r="N22" s="4">
        <v>0</v>
      </c>
      <c r="O22" s="5">
        <v>0</v>
      </c>
      <c r="P22" s="162"/>
      <c r="Q22" s="9"/>
      <c r="R22" s="9"/>
    </row>
    <row r="23" spans="1:18" ht="14.45" customHeight="1">
      <c r="A23" s="109" t="s">
        <v>23</v>
      </c>
      <c r="B23" s="33">
        <v>2017</v>
      </c>
      <c r="C23" s="33">
        <v>349</v>
      </c>
      <c r="D23" s="33">
        <v>200</v>
      </c>
      <c r="E23" s="26">
        <v>0.04</v>
      </c>
      <c r="F23" s="26">
        <v>0</v>
      </c>
      <c r="G23" s="26">
        <v>24.76</v>
      </c>
      <c r="H23" s="26">
        <v>94.2</v>
      </c>
      <c r="I23" s="26">
        <v>6.4</v>
      </c>
      <c r="J23" s="26">
        <v>0</v>
      </c>
      <c r="K23" s="26">
        <v>0.18</v>
      </c>
      <c r="L23" s="26">
        <v>3.6</v>
      </c>
      <c r="M23" s="26">
        <v>0.01</v>
      </c>
      <c r="N23" s="26">
        <v>1.08</v>
      </c>
      <c r="O23" s="26">
        <v>0</v>
      </c>
      <c r="P23" s="162"/>
      <c r="Q23" s="9"/>
      <c r="R23" s="9"/>
    </row>
    <row r="24" spans="1:18" ht="14.45" customHeight="1">
      <c r="A24" s="107" t="s">
        <v>16</v>
      </c>
      <c r="B24" s="96"/>
      <c r="C24" s="96"/>
      <c r="D24" s="12">
        <f t="shared" ref="D24:O24" si="1">SUM(D16:D23)</f>
        <v>880</v>
      </c>
      <c r="E24" s="13">
        <f>SUM(E16:E23)</f>
        <v>28.85</v>
      </c>
      <c r="F24" s="13">
        <f>SUM(F16:F23)</f>
        <v>29.443333333333335</v>
      </c>
      <c r="G24" s="13">
        <f>SUM(G16:G23)</f>
        <v>123.18</v>
      </c>
      <c r="H24" s="13">
        <f t="shared" si="1"/>
        <v>862.09000000000015</v>
      </c>
      <c r="I24" s="13">
        <f t="shared" si="1"/>
        <v>131.52666666666667</v>
      </c>
      <c r="J24" s="13">
        <f t="shared" si="1"/>
        <v>121.70333333333332</v>
      </c>
      <c r="K24" s="13">
        <f t="shared" si="1"/>
        <v>14.281111111111111</v>
      </c>
      <c r="L24" s="13">
        <f t="shared" si="1"/>
        <v>560.86666666666667</v>
      </c>
      <c r="M24" s="13">
        <f t="shared" si="1"/>
        <v>0.58333333333333337</v>
      </c>
      <c r="N24" s="13">
        <f t="shared" si="1"/>
        <v>25.409999999999997</v>
      </c>
      <c r="O24" s="15">
        <f t="shared" si="1"/>
        <v>368.81666666666661</v>
      </c>
      <c r="P24" s="162"/>
      <c r="Q24" s="9"/>
      <c r="R24" s="9"/>
    </row>
    <row r="25" spans="1:18" s="75" customFormat="1" ht="14.45" customHeight="1">
      <c r="A25" s="115" t="s">
        <v>24</v>
      </c>
      <c r="B25" s="116"/>
      <c r="C25" s="116"/>
      <c r="D25" s="118">
        <v>1435</v>
      </c>
      <c r="E25" s="118">
        <f>E24+E14</f>
        <v>47.66</v>
      </c>
      <c r="F25" s="118">
        <f t="shared" ref="F25:O25" si="2">F24+F14</f>
        <v>48.653333333333336</v>
      </c>
      <c r="G25" s="118">
        <f t="shared" si="2"/>
        <v>207.87</v>
      </c>
      <c r="H25" s="118">
        <f t="shared" si="2"/>
        <v>1414.14</v>
      </c>
      <c r="I25" s="118">
        <f t="shared" si="2"/>
        <v>482.15047619047618</v>
      </c>
      <c r="J25" s="118">
        <f t="shared" si="2"/>
        <v>237.75809523809522</v>
      </c>
      <c r="K25" s="118">
        <f t="shared" si="2"/>
        <v>17.316825396825397</v>
      </c>
      <c r="L25" s="118">
        <f t="shared" si="2"/>
        <v>773.83904761904762</v>
      </c>
      <c r="M25" s="118">
        <f t="shared" si="2"/>
        <v>0.95333333333333337</v>
      </c>
      <c r="N25" s="118">
        <f t="shared" si="2"/>
        <v>26.656190476190474</v>
      </c>
      <c r="O25" s="123">
        <f t="shared" si="2"/>
        <v>429.69380952380948</v>
      </c>
      <c r="P25" s="162"/>
      <c r="Q25" s="73"/>
      <c r="R25" s="73"/>
    </row>
    <row r="26" spans="1:18" s="75" customFormat="1" ht="14.45" customHeight="1">
      <c r="A26" s="174" t="s">
        <v>34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74"/>
      <c r="Q26" s="73"/>
      <c r="R26" s="73"/>
    </row>
    <row r="27" spans="1:18" s="75" customFormat="1" ht="14.45" customHeight="1">
      <c r="A27" s="173" t="s">
        <v>90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5"/>
      <c r="P27" s="74"/>
      <c r="Q27" s="73"/>
      <c r="R27" s="73"/>
    </row>
    <row r="28" spans="1:18" ht="14.45" customHeight="1">
      <c r="A28" s="127" t="s">
        <v>33</v>
      </c>
      <c r="B28" s="10">
        <v>2017</v>
      </c>
      <c r="C28" s="10" t="s">
        <v>87</v>
      </c>
      <c r="D28" s="11">
        <v>230</v>
      </c>
      <c r="E28" s="4">
        <f>12.45*230/200</f>
        <v>14.317500000000001</v>
      </c>
      <c r="F28" s="4">
        <v>10.97</v>
      </c>
      <c r="G28" s="4">
        <v>36.67</v>
      </c>
      <c r="H28" s="4">
        <v>293.5</v>
      </c>
      <c r="I28" s="4">
        <v>304.07150000000001</v>
      </c>
      <c r="J28" s="4">
        <v>44.481999999999999</v>
      </c>
      <c r="K28" s="4">
        <v>1.0465</v>
      </c>
      <c r="L28" s="4">
        <v>380.60399999999993</v>
      </c>
      <c r="M28" s="4">
        <v>6.8999999999999992E-2</v>
      </c>
      <c r="N28" s="4">
        <v>0.23</v>
      </c>
      <c r="O28" s="5">
        <v>128.44</v>
      </c>
      <c r="P28" s="134" t="s">
        <v>34</v>
      </c>
      <c r="Q28" s="9"/>
      <c r="R28" s="9"/>
    </row>
    <row r="29" spans="1:18" ht="14.45" customHeight="1">
      <c r="A29" s="111" t="s">
        <v>13</v>
      </c>
      <c r="B29" s="11" t="s">
        <v>80</v>
      </c>
      <c r="C29" s="11" t="s">
        <v>80</v>
      </c>
      <c r="D29" s="14">
        <v>30</v>
      </c>
      <c r="E29" s="4">
        <v>2.37</v>
      </c>
      <c r="F29" s="4">
        <v>0.3</v>
      </c>
      <c r="G29" s="4">
        <v>14.49</v>
      </c>
      <c r="H29" s="4">
        <v>70.14</v>
      </c>
      <c r="I29" s="4">
        <v>6.9</v>
      </c>
      <c r="J29" s="4">
        <v>9.9</v>
      </c>
      <c r="K29" s="4">
        <v>0.33</v>
      </c>
      <c r="L29" s="4">
        <v>26.1</v>
      </c>
      <c r="M29" s="4">
        <v>0.05</v>
      </c>
      <c r="N29" s="4">
        <v>0</v>
      </c>
      <c r="O29" s="5">
        <v>0</v>
      </c>
      <c r="P29" s="135"/>
      <c r="Q29" s="9"/>
      <c r="R29" s="9"/>
    </row>
    <row r="30" spans="1:18" ht="14.45" customHeight="1">
      <c r="A30" s="111" t="s">
        <v>27</v>
      </c>
      <c r="B30" s="11">
        <v>2017</v>
      </c>
      <c r="C30" s="11">
        <v>379</v>
      </c>
      <c r="D30" s="11">
        <v>200</v>
      </c>
      <c r="E30" s="4">
        <v>3.6</v>
      </c>
      <c r="F30" s="4">
        <v>2.67</v>
      </c>
      <c r="G30" s="4">
        <v>29.2</v>
      </c>
      <c r="H30" s="4">
        <v>155.19999999999999</v>
      </c>
      <c r="I30" s="4">
        <v>158.66999999999999</v>
      </c>
      <c r="J30" s="4">
        <v>16.8</v>
      </c>
      <c r="K30" s="4">
        <v>0.22</v>
      </c>
      <c r="L30" s="4">
        <v>82.4</v>
      </c>
      <c r="M30" s="4">
        <v>7.0000000000000007E-2</v>
      </c>
      <c r="N30" s="4">
        <v>1.17</v>
      </c>
      <c r="O30" s="5">
        <v>6.84</v>
      </c>
      <c r="P30" s="135"/>
      <c r="Q30" s="9"/>
      <c r="R30" s="9"/>
    </row>
    <row r="31" spans="1:18" ht="14.45" customHeight="1">
      <c r="A31" s="111" t="s">
        <v>15</v>
      </c>
      <c r="B31" s="11">
        <v>2017</v>
      </c>
      <c r="C31" s="11">
        <v>338</v>
      </c>
      <c r="D31" s="14">
        <v>100</v>
      </c>
      <c r="E31" s="4">
        <v>0.8</v>
      </c>
      <c r="F31" s="4">
        <v>5.5</v>
      </c>
      <c r="G31" s="4">
        <v>4.3</v>
      </c>
      <c r="H31" s="4">
        <v>67.099999999999994</v>
      </c>
      <c r="I31" s="4">
        <v>17.3</v>
      </c>
      <c r="J31" s="4">
        <v>3.9</v>
      </c>
      <c r="K31" s="4">
        <v>0.2</v>
      </c>
      <c r="L31" s="4">
        <v>21.2</v>
      </c>
      <c r="M31" s="4">
        <v>0</v>
      </c>
      <c r="N31" s="4">
        <v>1.8</v>
      </c>
      <c r="O31" s="5">
        <v>0</v>
      </c>
      <c r="P31" s="135"/>
      <c r="Q31" s="9"/>
      <c r="R31" s="9"/>
    </row>
    <row r="32" spans="1:18" ht="14.45" customHeight="1">
      <c r="A32" s="107" t="s">
        <v>16</v>
      </c>
      <c r="B32" s="96"/>
      <c r="C32" s="96"/>
      <c r="D32" s="12">
        <f>SUM(D28:D31)</f>
        <v>560</v>
      </c>
      <c r="E32" s="13">
        <f t="shared" ref="E32:O32" si="3">SUM(E28:E31)</f>
        <v>21.087500000000002</v>
      </c>
      <c r="F32" s="13">
        <f t="shared" si="3"/>
        <v>19.440000000000001</v>
      </c>
      <c r="G32" s="13">
        <f t="shared" si="3"/>
        <v>84.66</v>
      </c>
      <c r="H32" s="13">
        <f>SUM(H28:H31)</f>
        <v>585.93999999999994</v>
      </c>
      <c r="I32" s="13">
        <f t="shared" si="3"/>
        <v>486.94149999999996</v>
      </c>
      <c r="J32" s="13">
        <f t="shared" si="3"/>
        <v>75.082000000000008</v>
      </c>
      <c r="K32" s="13">
        <f t="shared" si="3"/>
        <v>1.7965</v>
      </c>
      <c r="L32" s="13">
        <f t="shared" si="3"/>
        <v>510.30399999999992</v>
      </c>
      <c r="M32" s="13">
        <f t="shared" si="3"/>
        <v>0.189</v>
      </c>
      <c r="N32" s="13">
        <f t="shared" si="3"/>
        <v>3.2</v>
      </c>
      <c r="O32" s="15">
        <f t="shared" si="3"/>
        <v>135.28</v>
      </c>
      <c r="P32" s="135"/>
      <c r="Q32" s="9"/>
      <c r="R32" s="9"/>
    </row>
    <row r="33" spans="1:18" ht="14.45" customHeight="1">
      <c r="A33" s="173" t="s">
        <v>91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5"/>
      <c r="P33" s="135"/>
      <c r="Q33" s="9"/>
      <c r="R33" s="9"/>
    </row>
    <row r="34" spans="1:18" ht="14.45" customHeight="1">
      <c r="A34" s="16" t="s">
        <v>30</v>
      </c>
      <c r="B34" s="29">
        <v>2017</v>
      </c>
      <c r="C34" s="10">
        <v>112</v>
      </c>
      <c r="D34" s="11">
        <v>250</v>
      </c>
      <c r="E34" s="4">
        <v>2.6625000000000001</v>
      </c>
      <c r="F34" s="4">
        <v>4.5875000000000004</v>
      </c>
      <c r="G34" s="4">
        <v>17.137499999999999</v>
      </c>
      <c r="H34" s="4">
        <v>116.23</v>
      </c>
      <c r="I34" s="4">
        <v>24.6</v>
      </c>
      <c r="J34" s="4">
        <v>27</v>
      </c>
      <c r="K34" s="4">
        <v>1.0874999999999999</v>
      </c>
      <c r="L34" s="4">
        <v>26.65</v>
      </c>
      <c r="M34" s="4">
        <v>0.1125</v>
      </c>
      <c r="N34" s="4">
        <v>8.25</v>
      </c>
      <c r="O34" s="5">
        <v>22.8</v>
      </c>
      <c r="P34" s="135"/>
      <c r="Q34" s="9"/>
      <c r="R34" s="9"/>
    </row>
    <row r="35" spans="1:18" ht="14.45" customHeight="1">
      <c r="A35" s="16" t="s">
        <v>17</v>
      </c>
      <c r="B35" s="29">
        <v>2017</v>
      </c>
      <c r="C35" s="10">
        <v>288</v>
      </c>
      <c r="D35" s="32">
        <v>10</v>
      </c>
      <c r="E35" s="4">
        <v>2.11</v>
      </c>
      <c r="F35" s="4">
        <v>1.36</v>
      </c>
      <c r="G35" s="4">
        <v>0</v>
      </c>
      <c r="H35" s="4">
        <v>20.67</v>
      </c>
      <c r="I35" s="4">
        <v>3.9</v>
      </c>
      <c r="J35" s="4">
        <v>2</v>
      </c>
      <c r="K35" s="4">
        <v>0.18</v>
      </c>
      <c r="L35" s="4">
        <v>14.3</v>
      </c>
      <c r="M35" s="4">
        <v>0.04</v>
      </c>
      <c r="N35" s="4">
        <v>0</v>
      </c>
      <c r="O35" s="5">
        <v>2.2799999999999998</v>
      </c>
      <c r="P35" s="135"/>
      <c r="Q35" s="9"/>
      <c r="R35" s="9"/>
    </row>
    <row r="36" spans="1:18" ht="14.45" customHeight="1">
      <c r="A36" s="16" t="s">
        <v>45</v>
      </c>
      <c r="B36" s="29">
        <v>2017</v>
      </c>
      <c r="C36" s="10" t="s">
        <v>89</v>
      </c>
      <c r="D36" s="11">
        <v>100</v>
      </c>
      <c r="E36" s="4">
        <f>11.99*100/90</f>
        <v>13.322222222222223</v>
      </c>
      <c r="F36" s="4">
        <v>12.06</v>
      </c>
      <c r="G36" s="4">
        <f>8.67*100/90</f>
        <v>9.6333333333333329</v>
      </c>
      <c r="H36" s="4">
        <v>209.9</v>
      </c>
      <c r="I36" s="4">
        <v>208.11111111111111</v>
      </c>
      <c r="J36" s="4">
        <v>23.444444444444443</v>
      </c>
      <c r="K36" s="4">
        <v>0.65555555555555556</v>
      </c>
      <c r="L36" s="4">
        <v>86.333333333333329</v>
      </c>
      <c r="M36" s="4">
        <v>6.6666666666666666E-2</v>
      </c>
      <c r="N36" s="4">
        <v>0.91111111111111109</v>
      </c>
      <c r="O36" s="5">
        <v>329.05555555555554</v>
      </c>
      <c r="P36" s="135"/>
      <c r="Q36" s="9"/>
      <c r="R36" s="9"/>
    </row>
    <row r="37" spans="1:18" ht="14.45" customHeight="1">
      <c r="A37" s="111" t="s">
        <v>28</v>
      </c>
      <c r="B37" s="11">
        <v>2017</v>
      </c>
      <c r="C37" s="11">
        <v>304</v>
      </c>
      <c r="D37" s="11">
        <v>200</v>
      </c>
      <c r="E37" s="4">
        <f>3.67*200/150</f>
        <v>4.8933333333333335</v>
      </c>
      <c r="F37" s="4">
        <v>6.23</v>
      </c>
      <c r="G37" s="4">
        <v>44.89</v>
      </c>
      <c r="H37" s="4">
        <v>267.95999999999998</v>
      </c>
      <c r="I37" s="4">
        <v>26.36</v>
      </c>
      <c r="J37" s="4">
        <v>17.48</v>
      </c>
      <c r="K37" s="4">
        <v>0</v>
      </c>
      <c r="L37" s="4">
        <v>22</v>
      </c>
      <c r="M37" s="4">
        <v>0.06</v>
      </c>
      <c r="N37" s="4">
        <v>0</v>
      </c>
      <c r="O37" s="5">
        <v>0.2</v>
      </c>
      <c r="P37" s="135"/>
      <c r="Q37" s="9"/>
      <c r="R37" s="9"/>
    </row>
    <row r="38" spans="1:18" ht="14.45" customHeight="1">
      <c r="A38" s="111" t="s">
        <v>60</v>
      </c>
      <c r="B38" s="11">
        <v>2017</v>
      </c>
      <c r="C38" s="11">
        <v>49</v>
      </c>
      <c r="D38" s="11">
        <v>100</v>
      </c>
      <c r="E38" s="4">
        <v>2.5979999999999999</v>
      </c>
      <c r="F38" s="4">
        <v>6.2200000000000006</v>
      </c>
      <c r="G38" s="4">
        <v>22.149000000000001</v>
      </c>
      <c r="H38" s="4">
        <v>154.9</v>
      </c>
      <c r="I38" s="4">
        <v>7.4809999999999999</v>
      </c>
      <c r="J38" s="4">
        <v>4.2789999999999999</v>
      </c>
      <c r="K38" s="4">
        <v>0.34799999999999998</v>
      </c>
      <c r="L38" s="4">
        <v>21.45</v>
      </c>
      <c r="M38" s="4">
        <v>0.27</v>
      </c>
      <c r="N38" s="4">
        <v>6.1166666666666663</v>
      </c>
      <c r="O38" s="5">
        <v>35.616666666666667</v>
      </c>
      <c r="P38" s="135"/>
      <c r="Q38" s="9"/>
      <c r="R38" s="9"/>
    </row>
    <row r="39" spans="1:18" ht="14.45" customHeight="1">
      <c r="A39" s="16" t="s">
        <v>26</v>
      </c>
      <c r="B39" s="10">
        <v>2017</v>
      </c>
      <c r="C39" s="10">
        <v>377</v>
      </c>
      <c r="D39" s="11">
        <v>200</v>
      </c>
      <c r="E39" s="11">
        <v>0.13</v>
      </c>
      <c r="F39" s="11">
        <v>0.02</v>
      </c>
      <c r="G39" s="11">
        <v>10.25</v>
      </c>
      <c r="H39" s="11">
        <v>41.68</v>
      </c>
      <c r="I39" s="11">
        <v>14.05</v>
      </c>
      <c r="J39" s="11">
        <v>2.4</v>
      </c>
      <c r="K39" s="11">
        <v>0.38</v>
      </c>
      <c r="L39" s="11">
        <v>4.4000000000000004</v>
      </c>
      <c r="M39" s="11">
        <v>0</v>
      </c>
      <c r="N39" s="11">
        <v>2.83</v>
      </c>
      <c r="O39" s="17">
        <v>0</v>
      </c>
      <c r="P39" s="135"/>
      <c r="Q39" s="9"/>
      <c r="R39" s="9"/>
    </row>
    <row r="40" spans="1:18" ht="14.45" customHeight="1">
      <c r="A40" s="16" t="s">
        <v>21</v>
      </c>
      <c r="B40" s="10" t="s">
        <v>80</v>
      </c>
      <c r="C40" s="10" t="s">
        <v>80</v>
      </c>
      <c r="D40" s="32">
        <v>20</v>
      </c>
      <c r="E40" s="4">
        <v>1.58</v>
      </c>
      <c r="F40" s="4">
        <v>0.2</v>
      </c>
      <c r="G40" s="4">
        <v>9.66</v>
      </c>
      <c r="H40" s="4">
        <v>46.76</v>
      </c>
      <c r="I40" s="4">
        <v>4.5999999999999996</v>
      </c>
      <c r="J40" s="4">
        <v>6.6</v>
      </c>
      <c r="K40" s="4">
        <v>0.22</v>
      </c>
      <c r="L40" s="4">
        <v>17.399999999999999</v>
      </c>
      <c r="M40" s="4">
        <v>0.08</v>
      </c>
      <c r="N40" s="4">
        <v>0</v>
      </c>
      <c r="O40" s="5">
        <v>0</v>
      </c>
      <c r="P40" s="135"/>
      <c r="Q40" s="9"/>
      <c r="R40" s="9"/>
    </row>
    <row r="41" spans="1:18" ht="14.45" customHeight="1">
      <c r="A41" s="16" t="s">
        <v>22</v>
      </c>
      <c r="B41" s="10" t="s">
        <v>80</v>
      </c>
      <c r="C41" s="10" t="s">
        <v>80</v>
      </c>
      <c r="D41" s="10">
        <v>40</v>
      </c>
      <c r="E41" s="4">
        <v>2.2400000000000002</v>
      </c>
      <c r="F41" s="4">
        <v>0.44</v>
      </c>
      <c r="G41" s="4">
        <v>19.760000000000002</v>
      </c>
      <c r="H41" s="4">
        <v>91.96</v>
      </c>
      <c r="I41" s="4">
        <v>9.1999999999999993</v>
      </c>
      <c r="J41" s="4">
        <v>10</v>
      </c>
      <c r="K41" s="4">
        <v>1.24</v>
      </c>
      <c r="L41" s="4">
        <v>42.4</v>
      </c>
      <c r="M41" s="4">
        <v>0.04</v>
      </c>
      <c r="N41" s="4">
        <v>0</v>
      </c>
      <c r="O41" s="5">
        <v>0</v>
      </c>
      <c r="P41" s="135"/>
      <c r="Q41" s="9"/>
      <c r="R41" s="9"/>
    </row>
    <row r="42" spans="1:18" ht="12.6" customHeight="1">
      <c r="A42" s="107" t="s">
        <v>16</v>
      </c>
      <c r="B42" s="96"/>
      <c r="C42" s="96"/>
      <c r="D42" s="12">
        <f t="shared" ref="D42:O42" si="4">SUM(D34:D41)</f>
        <v>920</v>
      </c>
      <c r="E42" s="13">
        <f>SUM(E34:E41)</f>
        <v>29.536055555555556</v>
      </c>
      <c r="F42" s="13">
        <f>SUM(F34:F41)</f>
        <v>31.117500000000003</v>
      </c>
      <c r="G42" s="13">
        <f>SUM(G34:G41)</f>
        <v>133.47983333333332</v>
      </c>
      <c r="H42" s="13">
        <f>SUM(H34:H41)</f>
        <v>950.06</v>
      </c>
      <c r="I42" s="13">
        <f t="shared" si="4"/>
        <v>298.30211111111112</v>
      </c>
      <c r="J42" s="13">
        <f t="shared" si="4"/>
        <v>93.203444444444443</v>
      </c>
      <c r="K42" s="13">
        <f t="shared" si="4"/>
        <v>4.1110555555555557</v>
      </c>
      <c r="L42" s="13">
        <f t="shared" si="4"/>
        <v>234.93333333333334</v>
      </c>
      <c r="M42" s="13">
        <f t="shared" si="4"/>
        <v>0.66916666666666669</v>
      </c>
      <c r="N42" s="13">
        <f t="shared" si="4"/>
        <v>18.107777777777777</v>
      </c>
      <c r="O42" s="15">
        <f t="shared" si="4"/>
        <v>389.95222222222219</v>
      </c>
      <c r="P42" s="135"/>
      <c r="Q42" s="9"/>
      <c r="R42" s="9"/>
    </row>
    <row r="43" spans="1:18" s="75" customFormat="1" ht="12.6" customHeight="1">
      <c r="A43" s="115" t="s">
        <v>24</v>
      </c>
      <c r="B43" s="116"/>
      <c r="C43" s="116"/>
      <c r="D43" s="117">
        <f t="shared" ref="D43:O43" si="5">D42+D32</f>
        <v>1480</v>
      </c>
      <c r="E43" s="118">
        <f t="shared" si="5"/>
        <v>50.623555555555555</v>
      </c>
      <c r="F43" s="118">
        <f t="shared" si="5"/>
        <v>50.557500000000005</v>
      </c>
      <c r="G43" s="118">
        <f t="shared" si="5"/>
        <v>218.13983333333331</v>
      </c>
      <c r="H43" s="118">
        <f t="shared" si="5"/>
        <v>1536</v>
      </c>
      <c r="I43" s="118">
        <f t="shared" si="5"/>
        <v>785.24361111111102</v>
      </c>
      <c r="J43" s="118">
        <f t="shared" si="5"/>
        <v>168.28544444444447</v>
      </c>
      <c r="K43" s="118">
        <f t="shared" si="5"/>
        <v>5.9075555555555557</v>
      </c>
      <c r="L43" s="118">
        <f t="shared" si="5"/>
        <v>745.23733333333325</v>
      </c>
      <c r="M43" s="118">
        <f t="shared" si="5"/>
        <v>0.85816666666666674</v>
      </c>
      <c r="N43" s="118">
        <f t="shared" si="5"/>
        <v>21.307777777777776</v>
      </c>
      <c r="O43" s="123">
        <f t="shared" si="5"/>
        <v>525.23222222222216</v>
      </c>
      <c r="P43" s="136"/>
      <c r="Q43" s="73"/>
      <c r="R43" s="73"/>
    </row>
    <row r="44" spans="1:18" s="75" customFormat="1" ht="14.45" customHeight="1">
      <c r="A44" s="172" t="s">
        <v>41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73"/>
      <c r="Q44" s="73"/>
      <c r="R44" s="73"/>
    </row>
    <row r="45" spans="1:18" s="75" customFormat="1" ht="12.6" customHeight="1">
      <c r="A45" s="181" t="s">
        <v>90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73"/>
      <c r="Q45" s="73"/>
      <c r="R45" s="73"/>
    </row>
    <row r="46" spans="1:18" ht="30">
      <c r="A46" s="16" t="s">
        <v>35</v>
      </c>
      <c r="B46" s="10">
        <v>2017</v>
      </c>
      <c r="C46" s="10">
        <v>175</v>
      </c>
      <c r="D46" s="11">
        <v>260</v>
      </c>
      <c r="E46" s="4">
        <v>12.925714285714285</v>
      </c>
      <c r="F46" s="4">
        <f>13.54*260/210</f>
        <v>16.76380952380952</v>
      </c>
      <c r="G46" s="4">
        <v>20.36</v>
      </c>
      <c r="H46" s="4">
        <v>273.75</v>
      </c>
      <c r="I46" s="4">
        <v>196.36190476190475</v>
      </c>
      <c r="J46" s="4">
        <v>33.057142857142857</v>
      </c>
      <c r="K46" s="4">
        <v>0.9285714285714286</v>
      </c>
      <c r="L46" s="4">
        <v>194.75238095238095</v>
      </c>
      <c r="M46" s="4">
        <v>0.14857142857142858</v>
      </c>
      <c r="N46" s="4">
        <v>1.4857142857142858</v>
      </c>
      <c r="O46" s="5">
        <v>114.3257142857143</v>
      </c>
      <c r="P46" s="135" t="s">
        <v>41</v>
      </c>
      <c r="Q46" s="9"/>
      <c r="R46" s="9"/>
    </row>
    <row r="47" spans="1:18" ht="12.6" customHeight="1">
      <c r="A47" s="111" t="s">
        <v>13</v>
      </c>
      <c r="B47" s="10" t="s">
        <v>80</v>
      </c>
      <c r="C47" s="10" t="s">
        <v>80</v>
      </c>
      <c r="D47" s="4">
        <v>60</v>
      </c>
      <c r="E47" s="4">
        <v>4.74</v>
      </c>
      <c r="F47" s="4">
        <v>0.6</v>
      </c>
      <c r="G47" s="4">
        <v>28.98</v>
      </c>
      <c r="H47" s="4">
        <v>140.28</v>
      </c>
      <c r="I47" s="4">
        <v>13.8</v>
      </c>
      <c r="J47" s="4">
        <v>19.8</v>
      </c>
      <c r="K47" s="4">
        <v>0.66</v>
      </c>
      <c r="L47" s="4">
        <v>52.2</v>
      </c>
      <c r="M47" s="4">
        <v>0.1</v>
      </c>
      <c r="N47" s="4">
        <v>0</v>
      </c>
      <c r="O47" s="5">
        <v>0</v>
      </c>
      <c r="P47" s="135"/>
      <c r="Q47" s="9"/>
      <c r="R47" s="9"/>
    </row>
    <row r="48" spans="1:18" s="1" customFormat="1" ht="12.6" customHeight="1">
      <c r="A48" s="46" t="s">
        <v>43</v>
      </c>
      <c r="B48" s="53" t="s">
        <v>80</v>
      </c>
      <c r="C48" s="53" t="s">
        <v>80</v>
      </c>
      <c r="D48" s="58">
        <v>30</v>
      </c>
      <c r="E48" s="58">
        <f>0.38*30/20</f>
        <v>0.57000000000000006</v>
      </c>
      <c r="F48" s="58">
        <v>1.62</v>
      </c>
      <c r="G48" s="58">
        <v>9.6199999999999992</v>
      </c>
      <c r="H48" s="58">
        <f>82.9*30/20</f>
        <v>124.35</v>
      </c>
      <c r="I48" s="58">
        <f>8.2*30/20</f>
        <v>12.299999999999999</v>
      </c>
      <c r="J48" s="58">
        <f>3*30/20</f>
        <v>4.5</v>
      </c>
      <c r="K48" s="58">
        <f>0.2*30/20</f>
        <v>0.3</v>
      </c>
      <c r="L48" s="58">
        <f>17.4*30/20</f>
        <v>26.1</v>
      </c>
      <c r="M48" s="58">
        <f>0.02*30/20</f>
        <v>0.03</v>
      </c>
      <c r="N48" s="58">
        <v>0</v>
      </c>
      <c r="O48" s="58">
        <f>19.5*1.14</f>
        <v>22.229999999999997</v>
      </c>
      <c r="P48" s="135"/>
      <c r="Q48" s="3"/>
      <c r="R48" s="3"/>
    </row>
    <row r="49" spans="1:22" ht="12.6" customHeight="1">
      <c r="A49" s="111" t="s">
        <v>36</v>
      </c>
      <c r="B49" s="11">
        <v>2017</v>
      </c>
      <c r="C49" s="11">
        <v>8</v>
      </c>
      <c r="D49" s="11">
        <v>200</v>
      </c>
      <c r="E49" s="4">
        <v>0.67777777777777781</v>
      </c>
      <c r="F49" s="4">
        <v>0.27777777777777779</v>
      </c>
      <c r="G49" s="4">
        <v>17.977777777777778</v>
      </c>
      <c r="H49" s="4">
        <v>77.12222222222222</v>
      </c>
      <c r="I49" s="4">
        <v>21.333333333333332</v>
      </c>
      <c r="J49" s="4">
        <v>3.4444444444444446</v>
      </c>
      <c r="K49" s="4">
        <v>0.6333333333333333</v>
      </c>
      <c r="L49" s="4">
        <v>3.4444444444444446</v>
      </c>
      <c r="M49" s="4">
        <v>0.01</v>
      </c>
      <c r="N49" s="4">
        <v>19</v>
      </c>
      <c r="O49" s="5">
        <v>0</v>
      </c>
      <c r="P49" s="135"/>
      <c r="Q49" s="9"/>
      <c r="R49" s="9"/>
    </row>
    <row r="50" spans="1:22" ht="12.6" customHeight="1">
      <c r="A50" s="107" t="s">
        <v>16</v>
      </c>
      <c r="B50" s="96"/>
      <c r="C50" s="96"/>
      <c r="D50" s="12">
        <v>550</v>
      </c>
      <c r="E50" s="13">
        <f>SUM(E46:E49)</f>
        <v>18.913492063492065</v>
      </c>
      <c r="F50" s="13">
        <f>SUM(F46:F49)</f>
        <v>19.261587301587301</v>
      </c>
      <c r="G50" s="13">
        <f>SUM(G46:G49)</f>
        <v>76.937777777777782</v>
      </c>
      <c r="H50" s="13">
        <f>SUM(H46:H49)</f>
        <v>615.50222222222226</v>
      </c>
      <c r="I50" s="13">
        <f>SUM(I46:I49)</f>
        <v>243.79523809523812</v>
      </c>
      <c r="J50" s="13">
        <v>60.801587301587304</v>
      </c>
      <c r="K50" s="13">
        <v>2.5219047619047616</v>
      </c>
      <c r="L50" s="13">
        <v>276.49682539682544</v>
      </c>
      <c r="M50" s="13">
        <v>0.28857142857142859</v>
      </c>
      <c r="N50" s="13">
        <v>20.485714285714288</v>
      </c>
      <c r="O50" s="15">
        <v>136.55571428571429</v>
      </c>
      <c r="P50" s="135"/>
      <c r="Q50" s="9"/>
      <c r="R50" s="9"/>
      <c r="V50" s="2"/>
    </row>
    <row r="51" spans="1:22" ht="12.6" customHeight="1">
      <c r="A51" s="169" t="s">
        <v>91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35"/>
      <c r="Q51" s="9"/>
      <c r="R51" s="9"/>
      <c r="V51" s="2"/>
    </row>
    <row r="52" spans="1:22" ht="12.6" customHeight="1">
      <c r="A52" s="16" t="s">
        <v>37</v>
      </c>
      <c r="B52" s="10">
        <v>2017</v>
      </c>
      <c r="C52" s="10">
        <v>82</v>
      </c>
      <c r="D52" s="18">
        <v>250</v>
      </c>
      <c r="E52" s="18">
        <f>1.45*250/200</f>
        <v>1.8125</v>
      </c>
      <c r="F52" s="18">
        <f>3.93*250/200</f>
        <v>4.9124999999999996</v>
      </c>
      <c r="G52" s="18">
        <f>10.19*250/200</f>
        <v>12.737500000000001</v>
      </c>
      <c r="H52" s="18">
        <v>99.12</v>
      </c>
      <c r="I52" s="18">
        <v>44.38</v>
      </c>
      <c r="J52" s="18">
        <v>10.96</v>
      </c>
      <c r="K52" s="18">
        <v>0.54</v>
      </c>
      <c r="L52" s="18">
        <f>53.03*200/250</f>
        <v>42.423999999999999</v>
      </c>
      <c r="M52" s="18">
        <f>0.05*200/250</f>
        <v>0.04</v>
      </c>
      <c r="N52" s="18">
        <v>6.54</v>
      </c>
      <c r="O52" s="19">
        <v>0</v>
      </c>
      <c r="P52" s="135"/>
      <c r="Q52" s="9"/>
      <c r="R52" s="9"/>
    </row>
    <row r="53" spans="1:22" ht="12.6" customHeight="1">
      <c r="A53" s="16" t="s">
        <v>17</v>
      </c>
      <c r="B53" s="10">
        <v>2017</v>
      </c>
      <c r="C53" s="10">
        <v>288</v>
      </c>
      <c r="D53" s="32">
        <v>10</v>
      </c>
      <c r="E53" s="4">
        <v>2.11</v>
      </c>
      <c r="F53" s="4">
        <v>1.36</v>
      </c>
      <c r="G53" s="4">
        <v>0</v>
      </c>
      <c r="H53" s="4">
        <v>20.67</v>
      </c>
      <c r="I53" s="4">
        <v>3.9</v>
      </c>
      <c r="J53" s="4">
        <v>2</v>
      </c>
      <c r="K53" s="4">
        <v>0.18</v>
      </c>
      <c r="L53" s="4">
        <v>14.3</v>
      </c>
      <c r="M53" s="4">
        <v>0.04</v>
      </c>
      <c r="N53" s="4">
        <v>0</v>
      </c>
      <c r="O53" s="5">
        <f>2*1.14</f>
        <v>2.2799999999999998</v>
      </c>
      <c r="P53" s="135"/>
      <c r="Q53" s="9"/>
      <c r="R53" s="9"/>
    </row>
    <row r="54" spans="1:22" ht="12.6" customHeight="1">
      <c r="A54" s="111" t="s">
        <v>59</v>
      </c>
      <c r="B54" s="10">
        <v>2017</v>
      </c>
      <c r="C54" s="11">
        <v>291</v>
      </c>
      <c r="D54" s="11">
        <v>250</v>
      </c>
      <c r="E54" s="4">
        <v>19.05</v>
      </c>
      <c r="F54" s="4">
        <v>20.58</v>
      </c>
      <c r="G54" s="4">
        <f>42*250/200</f>
        <v>52.5</v>
      </c>
      <c r="H54" s="5">
        <v>489.94</v>
      </c>
      <c r="I54" s="6">
        <f>45.1*250/200</f>
        <v>56.375</v>
      </c>
      <c r="J54" s="6">
        <f>47.5*250/200</f>
        <v>59.375</v>
      </c>
      <c r="K54" s="6">
        <f>2.19*250/200</f>
        <v>2.7374999999999998</v>
      </c>
      <c r="L54" s="6">
        <v>179.13</v>
      </c>
      <c r="M54" s="6">
        <f>0.06*250/200</f>
        <v>7.4999999999999997E-2</v>
      </c>
      <c r="N54" s="6">
        <f>1.01*250/200</f>
        <v>1.2625</v>
      </c>
      <c r="O54" s="7">
        <f>248.03*250/200</f>
        <v>310.03750000000002</v>
      </c>
      <c r="P54" s="135"/>
      <c r="Q54" s="9"/>
      <c r="R54" s="9"/>
    </row>
    <row r="55" spans="1:22" ht="12.6" customHeight="1">
      <c r="A55" s="111" t="s">
        <v>40</v>
      </c>
      <c r="B55" s="10">
        <v>2017</v>
      </c>
      <c r="C55" s="11">
        <v>59</v>
      </c>
      <c r="D55" s="22">
        <v>100</v>
      </c>
      <c r="E55" s="18">
        <f>1.08</f>
        <v>1.08</v>
      </c>
      <c r="F55" s="18">
        <f>0.18</f>
        <v>0.18</v>
      </c>
      <c r="G55" s="18">
        <f>8.62</f>
        <v>8.6199999999999992</v>
      </c>
      <c r="H55" s="18">
        <f>40.4</f>
        <v>40.4</v>
      </c>
      <c r="I55" s="18">
        <f>24.28</f>
        <v>24.28</v>
      </c>
      <c r="J55" s="18">
        <f>3.75</f>
        <v>3.75</v>
      </c>
      <c r="K55" s="18">
        <f>1.08</f>
        <v>1.08</v>
      </c>
      <c r="L55" s="18">
        <f>44</f>
        <v>44</v>
      </c>
      <c r="M55" s="18">
        <f>0.05</f>
        <v>0.05</v>
      </c>
      <c r="N55" s="18">
        <f>6.25</f>
        <v>6.25</v>
      </c>
      <c r="O55" s="19">
        <v>0</v>
      </c>
      <c r="P55" s="135"/>
      <c r="Q55" s="9"/>
      <c r="R55" s="9"/>
    </row>
    <row r="56" spans="1:22" ht="12.6" customHeight="1">
      <c r="A56" s="111" t="s">
        <v>14</v>
      </c>
      <c r="B56" s="11">
        <v>2017</v>
      </c>
      <c r="C56" s="11">
        <v>376</v>
      </c>
      <c r="D56" s="14">
        <v>200</v>
      </c>
      <c r="E56" s="4">
        <v>0.2</v>
      </c>
      <c r="F56" s="4">
        <v>0</v>
      </c>
      <c r="G56" s="4">
        <v>14</v>
      </c>
      <c r="H56" s="4">
        <v>28</v>
      </c>
      <c r="I56" s="4">
        <v>6</v>
      </c>
      <c r="J56" s="4">
        <v>0</v>
      </c>
      <c r="K56" s="4">
        <v>0.4</v>
      </c>
      <c r="L56" s="4">
        <v>0</v>
      </c>
      <c r="M56" s="4">
        <v>0</v>
      </c>
      <c r="N56" s="4">
        <v>0</v>
      </c>
      <c r="O56" s="4">
        <v>0</v>
      </c>
      <c r="P56" s="135"/>
      <c r="Q56" s="9"/>
      <c r="R56" s="9"/>
    </row>
    <row r="57" spans="1:22" ht="12.6" customHeight="1">
      <c r="A57" s="16" t="s">
        <v>21</v>
      </c>
      <c r="B57" s="10" t="s">
        <v>80</v>
      </c>
      <c r="C57" s="10" t="s">
        <v>80</v>
      </c>
      <c r="D57" s="32">
        <v>20</v>
      </c>
      <c r="E57" s="4">
        <v>1.58</v>
      </c>
      <c r="F57" s="4">
        <v>0.2</v>
      </c>
      <c r="G57" s="4">
        <v>9.66</v>
      </c>
      <c r="H57" s="4">
        <v>46.76</v>
      </c>
      <c r="I57" s="4">
        <v>4.5999999999999996</v>
      </c>
      <c r="J57" s="4">
        <v>6.6</v>
      </c>
      <c r="K57" s="4">
        <v>0.22</v>
      </c>
      <c r="L57" s="4">
        <v>17.399999999999999</v>
      </c>
      <c r="M57" s="4">
        <v>0.08</v>
      </c>
      <c r="N57" s="4">
        <v>0</v>
      </c>
      <c r="O57" s="5">
        <v>0</v>
      </c>
      <c r="P57" s="135"/>
      <c r="Q57" s="9"/>
      <c r="R57" s="9"/>
    </row>
    <row r="58" spans="1:22" ht="12.6" customHeight="1">
      <c r="A58" s="16" t="s">
        <v>22</v>
      </c>
      <c r="B58" s="10" t="s">
        <v>80</v>
      </c>
      <c r="C58" s="10" t="s">
        <v>80</v>
      </c>
      <c r="D58" s="10">
        <v>40</v>
      </c>
      <c r="E58" s="4">
        <v>2.2400000000000002</v>
      </c>
      <c r="F58" s="4">
        <v>0.44</v>
      </c>
      <c r="G58" s="4">
        <v>19.760000000000002</v>
      </c>
      <c r="H58" s="4">
        <v>91.96</v>
      </c>
      <c r="I58" s="4">
        <v>9.1999999999999993</v>
      </c>
      <c r="J58" s="4">
        <v>10</v>
      </c>
      <c r="K58" s="4">
        <v>1.24</v>
      </c>
      <c r="L58" s="4">
        <v>42.4</v>
      </c>
      <c r="M58" s="4">
        <v>0.04</v>
      </c>
      <c r="N58" s="4">
        <v>0</v>
      </c>
      <c r="O58" s="5">
        <v>0</v>
      </c>
      <c r="P58" s="135"/>
      <c r="Q58" s="9"/>
      <c r="R58" s="9"/>
    </row>
    <row r="59" spans="1:22" ht="12.6" customHeight="1">
      <c r="A59" s="107" t="s">
        <v>16</v>
      </c>
      <c r="B59" s="96"/>
      <c r="C59" s="96"/>
      <c r="D59" s="13">
        <f t="shared" ref="D59:O59" si="6">SUM(D52:D58)</f>
        <v>870</v>
      </c>
      <c r="E59" s="13">
        <f t="shared" si="6"/>
        <v>28.072500000000005</v>
      </c>
      <c r="F59" s="13">
        <f t="shared" si="6"/>
        <v>27.672499999999999</v>
      </c>
      <c r="G59" s="13">
        <f t="shared" si="6"/>
        <v>117.2775</v>
      </c>
      <c r="H59" s="13">
        <f t="shared" si="6"/>
        <v>816.85</v>
      </c>
      <c r="I59" s="13">
        <f t="shared" si="6"/>
        <v>148.73499999999999</v>
      </c>
      <c r="J59" s="13">
        <f t="shared" si="6"/>
        <v>92.685000000000002</v>
      </c>
      <c r="K59" s="13">
        <f>SUM(K52:K58)</f>
        <v>6.3975</v>
      </c>
      <c r="L59" s="13">
        <f>SUM(L52:L58)</f>
        <v>339.65399999999994</v>
      </c>
      <c r="M59" s="13">
        <f t="shared" si="6"/>
        <v>0.32500000000000001</v>
      </c>
      <c r="N59" s="13">
        <f t="shared" si="6"/>
        <v>14.0525</v>
      </c>
      <c r="O59" s="15">
        <f t="shared" si="6"/>
        <v>312.3175</v>
      </c>
      <c r="P59" s="135"/>
      <c r="Q59" s="9"/>
      <c r="R59" s="9"/>
    </row>
    <row r="60" spans="1:22" s="75" customFormat="1" ht="12.6" customHeight="1">
      <c r="A60" s="115" t="s">
        <v>24</v>
      </c>
      <c r="B60" s="116"/>
      <c r="C60" s="116"/>
      <c r="D60" s="118">
        <f t="shared" ref="D60:O60" si="7">D59+D50</f>
        <v>1420</v>
      </c>
      <c r="E60" s="118">
        <f t="shared" si="7"/>
        <v>46.98599206349207</v>
      </c>
      <c r="F60" s="118">
        <f t="shared" si="7"/>
        <v>46.934087301587297</v>
      </c>
      <c r="G60" s="118">
        <f t="shared" si="7"/>
        <v>194.21527777777777</v>
      </c>
      <c r="H60" s="118">
        <f t="shared" si="7"/>
        <v>1432.3522222222223</v>
      </c>
      <c r="I60" s="118">
        <f t="shared" si="7"/>
        <v>392.53023809523813</v>
      </c>
      <c r="J60" s="118">
        <f t="shared" si="7"/>
        <v>153.48658730158729</v>
      </c>
      <c r="K60" s="118">
        <f t="shared" si="7"/>
        <v>8.9194047619047616</v>
      </c>
      <c r="L60" s="118">
        <f t="shared" si="7"/>
        <v>616.15082539682544</v>
      </c>
      <c r="M60" s="118">
        <f t="shared" si="7"/>
        <v>0.61357142857142866</v>
      </c>
      <c r="N60" s="118">
        <f t="shared" si="7"/>
        <v>34.53821428571429</v>
      </c>
      <c r="O60" s="123">
        <f t="shared" si="7"/>
        <v>448.87321428571431</v>
      </c>
      <c r="P60" s="136"/>
      <c r="Q60" s="73"/>
      <c r="R60" s="73"/>
    </row>
    <row r="61" spans="1:22" s="75" customFormat="1" ht="15" customHeight="1">
      <c r="A61" s="179" t="s">
        <v>48</v>
      </c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73"/>
      <c r="Q61" s="73"/>
      <c r="R61" s="73"/>
    </row>
    <row r="62" spans="1:22" s="75" customFormat="1" ht="12.6" customHeight="1">
      <c r="A62" s="172" t="s">
        <v>90</v>
      </c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73"/>
      <c r="Q62" s="73"/>
      <c r="R62" s="73"/>
    </row>
    <row r="63" spans="1:22" s="1" customFormat="1" ht="19.149999999999999" customHeight="1">
      <c r="A63" s="16" t="s">
        <v>49</v>
      </c>
      <c r="B63" s="29">
        <v>2017</v>
      </c>
      <c r="C63" s="29">
        <v>181</v>
      </c>
      <c r="D63" s="14">
        <v>260</v>
      </c>
      <c r="E63" s="4">
        <v>12.17</v>
      </c>
      <c r="F63" s="4">
        <v>6.71</v>
      </c>
      <c r="G63" s="4">
        <f>35.9*250/200</f>
        <v>44.875</v>
      </c>
      <c r="H63" s="4">
        <v>286.7</v>
      </c>
      <c r="I63" s="4">
        <v>250.30571428571426</v>
      </c>
      <c r="J63" s="4">
        <v>9.7809523809523817</v>
      </c>
      <c r="K63" s="4">
        <v>0.58190476190476181</v>
      </c>
      <c r="L63" s="4">
        <v>45.561904761904763</v>
      </c>
      <c r="M63" s="4">
        <v>4.9523809523809526E-2</v>
      </c>
      <c r="N63" s="4">
        <v>0</v>
      </c>
      <c r="O63" s="4">
        <v>65.459999999999994</v>
      </c>
      <c r="P63" s="170" t="s">
        <v>48</v>
      </c>
      <c r="Q63" s="3"/>
      <c r="R63" s="3"/>
    </row>
    <row r="64" spans="1:22" s="1" customFormat="1">
      <c r="A64" s="36" t="s">
        <v>79</v>
      </c>
      <c r="B64" s="11">
        <v>2017</v>
      </c>
      <c r="C64" s="11">
        <v>3</v>
      </c>
      <c r="D64" s="37">
        <v>40</v>
      </c>
      <c r="E64" s="38">
        <v>4.9000000000000004</v>
      </c>
      <c r="F64" s="4">
        <v>11.55</v>
      </c>
      <c r="G64" s="4">
        <v>17.100000000000001</v>
      </c>
      <c r="H64" s="38">
        <v>193</v>
      </c>
      <c r="I64" s="4">
        <v>106</v>
      </c>
      <c r="J64" s="4">
        <v>4.8</v>
      </c>
      <c r="K64" s="4">
        <v>0.12</v>
      </c>
      <c r="L64" s="4">
        <v>0.09</v>
      </c>
      <c r="M64" s="4">
        <v>0.06</v>
      </c>
      <c r="N64" s="4">
        <v>0.11</v>
      </c>
      <c r="O64" s="5">
        <v>39</v>
      </c>
      <c r="P64" s="154"/>
      <c r="Q64" s="3"/>
      <c r="R64" s="3"/>
    </row>
    <row r="65" spans="1:18" s="1" customFormat="1">
      <c r="A65" s="98" t="s">
        <v>26</v>
      </c>
      <c r="B65" s="10">
        <v>2017</v>
      </c>
      <c r="C65" s="10">
        <v>377</v>
      </c>
      <c r="D65" s="37">
        <v>200</v>
      </c>
      <c r="E65" s="11">
        <v>0.13</v>
      </c>
      <c r="F65" s="11">
        <v>0.02</v>
      </c>
      <c r="G65" s="11">
        <v>10.25</v>
      </c>
      <c r="H65" s="11">
        <v>41.68</v>
      </c>
      <c r="I65" s="11">
        <v>14.05</v>
      </c>
      <c r="J65" s="11">
        <v>2.4</v>
      </c>
      <c r="K65" s="11">
        <v>0.38</v>
      </c>
      <c r="L65" s="11">
        <v>4.4000000000000004</v>
      </c>
      <c r="M65" s="11">
        <v>0</v>
      </c>
      <c r="N65" s="11">
        <v>2.83</v>
      </c>
      <c r="O65" s="17">
        <v>0</v>
      </c>
      <c r="P65" s="154"/>
      <c r="Q65" s="3"/>
      <c r="R65" s="3"/>
    </row>
    <row r="66" spans="1:18" s="1" customFormat="1">
      <c r="A66" s="36" t="s">
        <v>63</v>
      </c>
      <c r="B66" s="11">
        <v>2017</v>
      </c>
      <c r="C66" s="11">
        <v>338</v>
      </c>
      <c r="D66" s="37">
        <v>100</v>
      </c>
      <c r="E66" s="4">
        <v>0.9</v>
      </c>
      <c r="F66" s="4">
        <v>0.2</v>
      </c>
      <c r="G66" s="4">
        <v>8.1</v>
      </c>
      <c r="H66" s="4">
        <v>37.799999999999997</v>
      </c>
      <c r="I66" s="4">
        <v>34</v>
      </c>
      <c r="J66" s="4">
        <v>13</v>
      </c>
      <c r="K66" s="4">
        <v>0.3</v>
      </c>
      <c r="L66" s="4">
        <v>18.329999999999998</v>
      </c>
      <c r="M66" s="4">
        <v>0.04</v>
      </c>
      <c r="N66" s="4">
        <v>26</v>
      </c>
      <c r="O66" s="5">
        <v>0</v>
      </c>
      <c r="P66" s="154"/>
      <c r="Q66" s="3"/>
      <c r="R66" s="3"/>
    </row>
    <row r="67" spans="1:18" s="1" customFormat="1">
      <c r="A67" s="108" t="s">
        <v>16</v>
      </c>
      <c r="B67" s="99"/>
      <c r="C67" s="99"/>
      <c r="D67" s="20">
        <v>600</v>
      </c>
      <c r="E67" s="13">
        <f>SUM(E63:E66)</f>
        <v>18.099999999999998</v>
      </c>
      <c r="F67" s="13">
        <f>SUM(F63:F66)</f>
        <v>18.48</v>
      </c>
      <c r="G67" s="13">
        <f>SUM(G63:G66)</f>
        <v>80.324999999999989</v>
      </c>
      <c r="H67" s="13">
        <f t="shared" ref="H67:N67" si="8">SUM(H63:H66)</f>
        <v>559.17999999999995</v>
      </c>
      <c r="I67" s="13">
        <f t="shared" si="8"/>
        <v>404.35571428571427</v>
      </c>
      <c r="J67" s="13">
        <f t="shared" si="8"/>
        <v>29.980952380952381</v>
      </c>
      <c r="K67" s="13">
        <f t="shared" si="8"/>
        <v>1.3819047619047617</v>
      </c>
      <c r="L67" s="13">
        <f t="shared" si="8"/>
        <v>68.381904761904764</v>
      </c>
      <c r="M67" s="13">
        <f t="shared" si="8"/>
        <v>0.14952380952380953</v>
      </c>
      <c r="N67" s="13">
        <f t="shared" si="8"/>
        <v>28.94</v>
      </c>
      <c r="O67" s="15">
        <f>SUM(O63:O66)</f>
        <v>104.46</v>
      </c>
      <c r="P67" s="154"/>
      <c r="Q67" s="3"/>
      <c r="R67" s="3"/>
    </row>
    <row r="68" spans="1:18" s="1" customFormat="1">
      <c r="A68" s="169" t="s">
        <v>91</v>
      </c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54"/>
      <c r="Q68" s="3"/>
      <c r="R68" s="3"/>
    </row>
    <row r="69" spans="1:18" s="1" customFormat="1">
      <c r="A69" s="111" t="s">
        <v>51</v>
      </c>
      <c r="B69" s="11">
        <v>2017</v>
      </c>
      <c r="C69" s="11">
        <v>99</v>
      </c>
      <c r="D69" s="11">
        <v>250</v>
      </c>
      <c r="E69" s="4">
        <v>2.1</v>
      </c>
      <c r="F69" s="4">
        <v>7.4749999999999996</v>
      </c>
      <c r="G69" s="4">
        <v>11.6875</v>
      </c>
      <c r="H69" s="4">
        <v>122.96250000000001</v>
      </c>
      <c r="I69" s="4">
        <v>32.137500000000003</v>
      </c>
      <c r="J69" s="4">
        <v>28.774999999999999</v>
      </c>
      <c r="K69" s="4">
        <v>8.7499999999999994E-2</v>
      </c>
      <c r="L69" s="4">
        <v>86.837500000000006</v>
      </c>
      <c r="M69" s="4">
        <v>0.13750000000000001</v>
      </c>
      <c r="N69" s="4">
        <v>8.5</v>
      </c>
      <c r="O69" s="5">
        <v>0</v>
      </c>
      <c r="P69" s="154"/>
      <c r="Q69" s="3"/>
      <c r="R69" s="3"/>
    </row>
    <row r="70" spans="1:18" s="1" customFormat="1">
      <c r="A70" s="16" t="s">
        <v>17</v>
      </c>
      <c r="B70" s="10">
        <v>2017</v>
      </c>
      <c r="C70" s="10">
        <v>288</v>
      </c>
      <c r="D70" s="32">
        <v>10</v>
      </c>
      <c r="E70" s="4">
        <v>2.11</v>
      </c>
      <c r="F70" s="4">
        <v>1.36</v>
      </c>
      <c r="G70" s="4">
        <v>0</v>
      </c>
      <c r="H70" s="4">
        <v>20.67</v>
      </c>
      <c r="I70" s="4">
        <v>3.9</v>
      </c>
      <c r="J70" s="4">
        <v>2</v>
      </c>
      <c r="K70" s="4">
        <v>0.18</v>
      </c>
      <c r="L70" s="4">
        <v>14.3</v>
      </c>
      <c r="M70" s="4">
        <v>0.04</v>
      </c>
      <c r="N70" s="4">
        <v>0</v>
      </c>
      <c r="O70" s="5">
        <v>2.2799999999999998</v>
      </c>
      <c r="P70" s="154"/>
      <c r="Q70" s="3"/>
      <c r="R70" s="3"/>
    </row>
    <row r="71" spans="1:18" s="1" customFormat="1">
      <c r="A71" s="127" t="s">
        <v>31</v>
      </c>
      <c r="B71" s="10">
        <v>2017</v>
      </c>
      <c r="C71" s="10" t="s">
        <v>88</v>
      </c>
      <c r="D71" s="11">
        <v>100</v>
      </c>
      <c r="E71" s="4">
        <v>13.58</v>
      </c>
      <c r="F71" s="4">
        <v>10.58</v>
      </c>
      <c r="G71" s="4">
        <f>11.66*100/90</f>
        <v>12.955555555555556</v>
      </c>
      <c r="H71" s="4">
        <v>198.12</v>
      </c>
      <c r="I71" s="4">
        <v>182.08888888888799</v>
      </c>
      <c r="J71" s="4">
        <v>20.855555555555554</v>
      </c>
      <c r="K71" s="4">
        <v>1.2</v>
      </c>
      <c r="L71" s="4">
        <v>47.988888888888887</v>
      </c>
      <c r="M71" s="4">
        <v>0.1111111111111111</v>
      </c>
      <c r="N71" s="4">
        <v>0.1111111111111111</v>
      </c>
      <c r="O71" s="5">
        <v>268.5</v>
      </c>
      <c r="P71" s="154"/>
      <c r="Q71" s="3"/>
      <c r="R71" s="3"/>
    </row>
    <row r="72" spans="1:18" s="1" customFormat="1">
      <c r="A72" s="16" t="s">
        <v>76</v>
      </c>
      <c r="B72" s="10">
        <v>2017</v>
      </c>
      <c r="C72" s="10">
        <v>125</v>
      </c>
      <c r="D72" s="11">
        <v>200</v>
      </c>
      <c r="E72" s="4">
        <v>3.8133333333333335</v>
      </c>
      <c r="F72" s="4">
        <v>5.76</v>
      </c>
      <c r="G72" s="4">
        <v>30.68</v>
      </c>
      <c r="H72" s="4">
        <v>189.8</v>
      </c>
      <c r="I72" s="4">
        <v>19.52</v>
      </c>
      <c r="J72" s="4">
        <v>25.77333333333333</v>
      </c>
      <c r="K72" s="4">
        <v>1.5466666666666664</v>
      </c>
      <c r="L72" s="4">
        <v>146.63</v>
      </c>
      <c r="M72" s="4">
        <v>0.02</v>
      </c>
      <c r="N72" s="4">
        <v>28</v>
      </c>
      <c r="O72" s="5">
        <v>28</v>
      </c>
      <c r="P72" s="154"/>
      <c r="Q72" s="3"/>
      <c r="R72" s="3"/>
    </row>
    <row r="73" spans="1:18" s="1" customFormat="1">
      <c r="A73" s="111" t="s">
        <v>53</v>
      </c>
      <c r="B73" s="11">
        <v>2017</v>
      </c>
      <c r="C73" s="11">
        <v>52</v>
      </c>
      <c r="D73" s="11">
        <v>100</v>
      </c>
      <c r="E73" s="4">
        <v>1.4333333333333333</v>
      </c>
      <c r="F73" s="4">
        <v>6.083333333333333</v>
      </c>
      <c r="G73" s="4">
        <v>8.3666666666666654</v>
      </c>
      <c r="H73" s="4">
        <v>93.9</v>
      </c>
      <c r="I73" s="4">
        <v>35.15</v>
      </c>
      <c r="J73" s="4">
        <v>20.9</v>
      </c>
      <c r="K73" s="4">
        <v>1.3333333333333333</v>
      </c>
      <c r="L73" s="100">
        <v>40.966666666666669</v>
      </c>
      <c r="M73" s="4">
        <v>1.6666666666666666E-2</v>
      </c>
      <c r="N73" s="4">
        <v>3.42</v>
      </c>
      <c r="O73" s="17">
        <v>0</v>
      </c>
      <c r="P73" s="154"/>
      <c r="Q73" s="3"/>
      <c r="R73" s="3"/>
    </row>
    <row r="74" spans="1:18" s="1" customFormat="1">
      <c r="A74" s="111" t="s">
        <v>54</v>
      </c>
      <c r="B74" s="11">
        <v>2017</v>
      </c>
      <c r="C74" s="11">
        <v>342</v>
      </c>
      <c r="D74" s="11">
        <v>200</v>
      </c>
      <c r="E74" s="4">
        <v>0.2</v>
      </c>
      <c r="F74" s="4">
        <v>0.2</v>
      </c>
      <c r="G74" s="4">
        <v>22.3</v>
      </c>
      <c r="H74" s="4">
        <v>110</v>
      </c>
      <c r="I74" s="4">
        <v>12</v>
      </c>
      <c r="J74" s="4">
        <v>0</v>
      </c>
      <c r="K74" s="4">
        <v>0.8</v>
      </c>
      <c r="L74" s="4">
        <v>2.4</v>
      </c>
      <c r="M74" s="4">
        <v>0.02</v>
      </c>
      <c r="N74" s="4">
        <v>0</v>
      </c>
      <c r="O74" s="5">
        <v>0</v>
      </c>
      <c r="P74" s="154"/>
      <c r="Q74" s="3"/>
      <c r="R74" s="3"/>
    </row>
    <row r="75" spans="1:18" s="1" customFormat="1">
      <c r="A75" s="16" t="s">
        <v>21</v>
      </c>
      <c r="B75" s="10" t="s">
        <v>80</v>
      </c>
      <c r="C75" s="10" t="s">
        <v>80</v>
      </c>
      <c r="D75" s="32">
        <v>20</v>
      </c>
      <c r="E75" s="4">
        <v>1.58</v>
      </c>
      <c r="F75" s="4">
        <v>0.2</v>
      </c>
      <c r="G75" s="4">
        <v>9.66</v>
      </c>
      <c r="H75" s="4">
        <v>46.76</v>
      </c>
      <c r="I75" s="4">
        <v>4.5999999999999996</v>
      </c>
      <c r="J75" s="4">
        <v>6.6</v>
      </c>
      <c r="K75" s="4">
        <v>0.22</v>
      </c>
      <c r="L75" s="4">
        <v>17.399999999999999</v>
      </c>
      <c r="M75" s="4">
        <v>0.08</v>
      </c>
      <c r="N75" s="4">
        <v>0</v>
      </c>
      <c r="O75" s="5">
        <v>0</v>
      </c>
      <c r="P75" s="154"/>
      <c r="Q75" s="3"/>
      <c r="R75" s="3"/>
    </row>
    <row r="76" spans="1:18" s="1" customFormat="1">
      <c r="A76" s="16" t="s">
        <v>22</v>
      </c>
      <c r="B76" s="10" t="s">
        <v>80</v>
      </c>
      <c r="C76" s="10" t="s">
        <v>80</v>
      </c>
      <c r="D76" s="10">
        <v>40</v>
      </c>
      <c r="E76" s="4">
        <v>2.2400000000000002</v>
      </c>
      <c r="F76" s="4">
        <v>0.44</v>
      </c>
      <c r="G76" s="4">
        <v>19.760000000000002</v>
      </c>
      <c r="H76" s="4">
        <v>91.96</v>
      </c>
      <c r="I76" s="4">
        <v>9.1999999999999993</v>
      </c>
      <c r="J76" s="4">
        <v>10</v>
      </c>
      <c r="K76" s="4">
        <v>1.24</v>
      </c>
      <c r="L76" s="4">
        <v>42.4</v>
      </c>
      <c r="M76" s="4">
        <v>0.04</v>
      </c>
      <c r="N76" s="4">
        <v>0</v>
      </c>
      <c r="O76" s="5">
        <v>0</v>
      </c>
      <c r="P76" s="154"/>
      <c r="Q76" s="3"/>
      <c r="R76" s="3"/>
    </row>
    <row r="77" spans="1:18" s="1" customFormat="1">
      <c r="A77" s="108" t="s">
        <v>16</v>
      </c>
      <c r="B77" s="99"/>
      <c r="C77" s="99"/>
      <c r="D77" s="12">
        <v>920</v>
      </c>
      <c r="E77" s="13">
        <f t="shared" ref="E77:K77" si="9">SUM(E69:E76)</f>
        <v>27.056666666666665</v>
      </c>
      <c r="F77" s="13">
        <f t="shared" si="9"/>
        <v>32.098333333333329</v>
      </c>
      <c r="G77" s="13">
        <f t="shared" si="9"/>
        <v>115.40972222222223</v>
      </c>
      <c r="H77" s="13">
        <f t="shared" si="9"/>
        <v>874.17250000000001</v>
      </c>
      <c r="I77" s="13">
        <f t="shared" si="9"/>
        <v>298.59638888888799</v>
      </c>
      <c r="J77" s="13">
        <f t="shared" si="9"/>
        <v>114.90388888888887</v>
      </c>
      <c r="K77" s="13">
        <f t="shared" si="9"/>
        <v>6.607499999999999</v>
      </c>
      <c r="L77" s="13">
        <v>398.92305555555549</v>
      </c>
      <c r="M77" s="13">
        <f>SUM(M69:M76)</f>
        <v>0.46527777777777785</v>
      </c>
      <c r="N77" s="13">
        <v>40.031111111111116</v>
      </c>
      <c r="O77" s="15">
        <v>298.77999999999997</v>
      </c>
      <c r="P77" s="154"/>
      <c r="Q77" s="3"/>
      <c r="R77" s="3"/>
    </row>
    <row r="78" spans="1:18" s="79" customFormat="1">
      <c r="A78" s="115" t="s">
        <v>24</v>
      </c>
      <c r="B78" s="116"/>
      <c r="C78" s="116"/>
      <c r="D78" s="117">
        <f t="shared" ref="D78:I78" si="10">D77+D67</f>
        <v>1520</v>
      </c>
      <c r="E78" s="118">
        <f t="shared" si="10"/>
        <v>45.156666666666666</v>
      </c>
      <c r="F78" s="118">
        <f t="shared" si="10"/>
        <v>50.578333333333333</v>
      </c>
      <c r="G78" s="118">
        <f t="shared" si="10"/>
        <v>195.73472222222222</v>
      </c>
      <c r="H78" s="118">
        <f t="shared" si="10"/>
        <v>1433.3525</v>
      </c>
      <c r="I78" s="118">
        <f t="shared" si="10"/>
        <v>702.95210317460226</v>
      </c>
      <c r="J78" s="118">
        <f t="shared" ref="J78:O78" si="11">J77+J67</f>
        <v>144.88484126984125</v>
      </c>
      <c r="K78" s="118">
        <f t="shared" si="11"/>
        <v>7.989404761904761</v>
      </c>
      <c r="L78" s="118">
        <f t="shared" si="11"/>
        <v>467.30496031746026</v>
      </c>
      <c r="M78" s="118">
        <f t="shared" si="11"/>
        <v>0.6148015873015874</v>
      </c>
      <c r="N78" s="118">
        <f t="shared" si="11"/>
        <v>68.971111111111114</v>
      </c>
      <c r="O78" s="123">
        <f t="shared" si="11"/>
        <v>403.23999999999995</v>
      </c>
      <c r="P78" s="171"/>
      <c r="Q78" s="124"/>
      <c r="R78" s="124"/>
    </row>
    <row r="79" spans="1:18" s="75" customFormat="1">
      <c r="A79" s="172" t="s">
        <v>55</v>
      </c>
      <c r="B79" s="176"/>
      <c r="C79" s="176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73"/>
      <c r="Q79" s="73"/>
      <c r="R79" s="73"/>
    </row>
    <row r="80" spans="1:18" s="75" customFormat="1" ht="12.6" customHeight="1">
      <c r="A80" s="177" t="s">
        <v>90</v>
      </c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73"/>
      <c r="Q80" s="73"/>
      <c r="R80" s="73"/>
    </row>
    <row r="81" spans="1:18" ht="26.45" customHeight="1">
      <c r="A81" s="16" t="s">
        <v>42</v>
      </c>
      <c r="B81" s="10">
        <v>2017</v>
      </c>
      <c r="C81" s="25">
        <v>183</v>
      </c>
      <c r="D81" s="11">
        <v>260</v>
      </c>
      <c r="E81" s="4">
        <v>9.83</v>
      </c>
      <c r="F81" s="4">
        <f>11.58*250/200</f>
        <v>14.475</v>
      </c>
      <c r="G81" s="4">
        <f>7.86*250/200</f>
        <v>9.8249999999999993</v>
      </c>
      <c r="H81" s="4">
        <v>206.44</v>
      </c>
      <c r="I81" s="4">
        <v>239.81904761904761</v>
      </c>
      <c r="J81" s="4">
        <v>53.361904761904761</v>
      </c>
      <c r="K81" s="4">
        <v>1.6342857142857143</v>
      </c>
      <c r="L81" s="4">
        <v>182.86666666666667</v>
      </c>
      <c r="M81" s="4">
        <v>0.18571428571428572</v>
      </c>
      <c r="N81" s="4">
        <v>0</v>
      </c>
      <c r="O81" s="4">
        <v>28.228571428571428</v>
      </c>
      <c r="P81" s="135" t="s">
        <v>55</v>
      </c>
      <c r="Q81" s="9"/>
      <c r="R81" s="9"/>
    </row>
    <row r="82" spans="1:18">
      <c r="A82" s="111" t="s">
        <v>13</v>
      </c>
      <c r="B82" s="32" t="s">
        <v>80</v>
      </c>
      <c r="C82" s="32" t="s">
        <v>80</v>
      </c>
      <c r="D82" s="14">
        <v>60</v>
      </c>
      <c r="E82" s="4">
        <v>4.74</v>
      </c>
      <c r="F82" s="4">
        <v>0.6</v>
      </c>
      <c r="G82" s="4">
        <v>28.98</v>
      </c>
      <c r="H82" s="4">
        <v>140.28</v>
      </c>
      <c r="I82" s="4">
        <v>13.8</v>
      </c>
      <c r="J82" s="4">
        <v>19.8</v>
      </c>
      <c r="K82" s="4">
        <v>0.66</v>
      </c>
      <c r="L82" s="4">
        <v>52.2</v>
      </c>
      <c r="M82" s="4">
        <v>0.1</v>
      </c>
      <c r="N82" s="4">
        <v>0</v>
      </c>
      <c r="O82" s="5">
        <v>0</v>
      </c>
      <c r="P82" s="135"/>
      <c r="Q82" s="9"/>
      <c r="R82" s="9"/>
    </row>
    <row r="83" spans="1:18">
      <c r="A83" s="39" t="s">
        <v>50</v>
      </c>
      <c r="B83" s="14">
        <v>2017</v>
      </c>
      <c r="C83" s="38">
        <v>382</v>
      </c>
      <c r="D83" s="14">
        <v>200</v>
      </c>
      <c r="E83" s="4">
        <v>3.52</v>
      </c>
      <c r="F83" s="4">
        <v>3.72</v>
      </c>
      <c r="G83" s="4">
        <v>25.49</v>
      </c>
      <c r="H83" s="4">
        <v>145.19999999999999</v>
      </c>
      <c r="I83" s="4">
        <v>122</v>
      </c>
      <c r="J83" s="4">
        <v>14</v>
      </c>
      <c r="K83" s="4">
        <v>0.56000000000000005</v>
      </c>
      <c r="L83" s="4">
        <v>39</v>
      </c>
      <c r="M83" s="4">
        <v>0.04</v>
      </c>
      <c r="N83" s="4">
        <v>1.3</v>
      </c>
      <c r="O83" s="5">
        <v>1.1399999999999999E-2</v>
      </c>
      <c r="P83" s="135"/>
      <c r="Q83" s="9"/>
      <c r="R83" s="9"/>
    </row>
    <row r="84" spans="1:18">
      <c r="A84" s="31" t="s">
        <v>29</v>
      </c>
      <c r="B84" s="32" t="s">
        <v>80</v>
      </c>
      <c r="C84" s="32" t="s">
        <v>80</v>
      </c>
      <c r="D84" s="32">
        <v>30</v>
      </c>
      <c r="E84" s="11">
        <v>0.15</v>
      </c>
      <c r="F84" s="11">
        <v>0</v>
      </c>
      <c r="G84" s="11">
        <v>21.48</v>
      </c>
      <c r="H84" s="11">
        <v>86.52000000000001</v>
      </c>
      <c r="I84" s="11">
        <v>3.6</v>
      </c>
      <c r="J84" s="11">
        <v>2.7</v>
      </c>
      <c r="K84" s="11">
        <v>0.12</v>
      </c>
      <c r="L84" s="11">
        <v>5.4</v>
      </c>
      <c r="M84" s="11">
        <v>0</v>
      </c>
      <c r="N84" s="11">
        <v>0.72</v>
      </c>
      <c r="O84" s="17">
        <v>0</v>
      </c>
      <c r="P84" s="135"/>
      <c r="Q84" s="9"/>
      <c r="R84" s="9"/>
    </row>
    <row r="85" spans="1:18">
      <c r="A85" s="107" t="s">
        <v>16</v>
      </c>
      <c r="B85" s="96"/>
      <c r="C85" s="96"/>
      <c r="D85" s="20">
        <f t="shared" ref="D85:O85" si="12">SUM(D81:D84)</f>
        <v>550</v>
      </c>
      <c r="E85" s="13">
        <f>SUM(E81:E84)</f>
        <v>18.239999999999998</v>
      </c>
      <c r="F85" s="13">
        <f>SUM(F81:F84)</f>
        <v>18.794999999999998</v>
      </c>
      <c r="G85" s="13">
        <f>SUM(G81:G84)</f>
        <v>85.775000000000006</v>
      </c>
      <c r="H85" s="13">
        <f>SUM(H81:H84)</f>
        <v>578.44000000000005</v>
      </c>
      <c r="I85" s="13">
        <f t="shared" si="12"/>
        <v>379.21904761904761</v>
      </c>
      <c r="J85" s="13">
        <f t="shared" si="12"/>
        <v>89.861904761904768</v>
      </c>
      <c r="K85" s="13">
        <f t="shared" si="12"/>
        <v>2.9742857142857146</v>
      </c>
      <c r="L85" s="13">
        <f t="shared" si="12"/>
        <v>279.46666666666664</v>
      </c>
      <c r="M85" s="13">
        <f t="shared" si="12"/>
        <v>0.32571428571428568</v>
      </c>
      <c r="N85" s="13">
        <f t="shared" si="12"/>
        <v>2.02</v>
      </c>
      <c r="O85" s="15">
        <f t="shared" si="12"/>
        <v>28.239971428571426</v>
      </c>
      <c r="P85" s="135"/>
      <c r="Q85" s="9"/>
      <c r="R85" s="9"/>
    </row>
    <row r="86" spans="1:18" ht="21.6" customHeight="1">
      <c r="A86" s="173" t="s">
        <v>91</v>
      </c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5"/>
      <c r="P86" s="135"/>
      <c r="Q86" s="9"/>
      <c r="R86" s="9"/>
    </row>
    <row r="87" spans="1:18">
      <c r="A87" s="16" t="s">
        <v>44</v>
      </c>
      <c r="B87" s="10">
        <v>2017</v>
      </c>
      <c r="C87" s="35">
        <v>96</v>
      </c>
      <c r="D87" s="11">
        <v>260</v>
      </c>
      <c r="E87" s="4">
        <f>2.48*250/200</f>
        <v>3.1</v>
      </c>
      <c r="F87" s="4">
        <v>8.2799999999999994</v>
      </c>
      <c r="G87" s="4">
        <f>24.08*250/200</f>
        <v>30.1</v>
      </c>
      <c r="H87" s="4">
        <v>199.79</v>
      </c>
      <c r="I87" s="4">
        <v>26.198095238095238</v>
      </c>
      <c r="J87" s="4">
        <v>25.653333333333332</v>
      </c>
      <c r="K87" s="4">
        <v>0.96571428571428575</v>
      </c>
      <c r="L87" s="4">
        <v>71.264761904761912</v>
      </c>
      <c r="M87" s="4">
        <v>9.9047619047619051E-2</v>
      </c>
      <c r="N87" s="4">
        <v>7.4657142857142853</v>
      </c>
      <c r="O87" s="5">
        <v>0</v>
      </c>
      <c r="P87" s="135"/>
      <c r="Q87" s="9"/>
      <c r="R87" s="9"/>
    </row>
    <row r="88" spans="1:18">
      <c r="A88" s="16" t="s">
        <v>17</v>
      </c>
      <c r="B88" s="10">
        <v>2017</v>
      </c>
      <c r="C88" s="10">
        <v>288</v>
      </c>
      <c r="D88" s="32">
        <v>10</v>
      </c>
      <c r="E88" s="4">
        <v>2.11</v>
      </c>
      <c r="F88" s="4">
        <v>1.36</v>
      </c>
      <c r="G88" s="4">
        <v>0</v>
      </c>
      <c r="H88" s="4">
        <v>20.67</v>
      </c>
      <c r="I88" s="4">
        <v>3.9</v>
      </c>
      <c r="J88" s="4">
        <v>2</v>
      </c>
      <c r="K88" s="4">
        <v>0.18</v>
      </c>
      <c r="L88" s="4">
        <v>14.3</v>
      </c>
      <c r="M88" s="4">
        <v>0.04</v>
      </c>
      <c r="N88" s="4">
        <v>0</v>
      </c>
      <c r="O88" s="5">
        <v>2.2799999999999998</v>
      </c>
      <c r="P88" s="135"/>
      <c r="Q88" s="9"/>
      <c r="R88" s="9"/>
    </row>
    <row r="89" spans="1:18">
      <c r="A89" s="16" t="s">
        <v>45</v>
      </c>
      <c r="B89" s="29">
        <v>2017</v>
      </c>
      <c r="C89" s="10" t="s">
        <v>89</v>
      </c>
      <c r="D89" s="11">
        <v>100</v>
      </c>
      <c r="E89" s="4">
        <f>11.99*100/90</f>
        <v>13.322222222222223</v>
      </c>
      <c r="F89" s="4">
        <v>12.06</v>
      </c>
      <c r="G89" s="4">
        <f>8.67*100/90</f>
        <v>9.6333333333333329</v>
      </c>
      <c r="H89" s="4">
        <v>209.9</v>
      </c>
      <c r="I89" s="4">
        <v>208.11111111111111</v>
      </c>
      <c r="J89" s="4">
        <v>23.444444444444443</v>
      </c>
      <c r="K89" s="4">
        <v>0.65555555555555556</v>
      </c>
      <c r="L89" s="4">
        <v>86.333333333333329</v>
      </c>
      <c r="M89" s="4">
        <v>6.6666666666666666E-2</v>
      </c>
      <c r="N89" s="4">
        <v>0.91111111111111109</v>
      </c>
      <c r="O89" s="5">
        <v>329.05555555555554</v>
      </c>
      <c r="P89" s="135"/>
      <c r="Q89" s="9"/>
      <c r="R89" s="9"/>
    </row>
    <row r="90" spans="1:18" ht="15" customHeight="1">
      <c r="A90" s="111" t="s">
        <v>46</v>
      </c>
      <c r="B90" s="11">
        <v>2017</v>
      </c>
      <c r="C90" s="11">
        <v>312</v>
      </c>
      <c r="D90" s="11">
        <v>200</v>
      </c>
      <c r="E90" s="4">
        <v>4.08</v>
      </c>
      <c r="F90" s="4">
        <v>6.4</v>
      </c>
      <c r="G90" s="4">
        <v>27.266666666666666</v>
      </c>
      <c r="H90" s="4">
        <v>183</v>
      </c>
      <c r="I90" s="4">
        <v>49.306666666666658</v>
      </c>
      <c r="J90" s="4">
        <v>37</v>
      </c>
      <c r="K90" s="4">
        <v>1.3466666666666667</v>
      </c>
      <c r="L90" s="4">
        <v>75.466666666666669</v>
      </c>
      <c r="M90" s="4">
        <v>0.14000000000000001</v>
      </c>
      <c r="N90" s="4">
        <v>12.493333333333332</v>
      </c>
      <c r="O90" s="5">
        <v>34</v>
      </c>
      <c r="P90" s="135"/>
      <c r="Q90" s="9"/>
      <c r="R90" s="9"/>
    </row>
    <row r="91" spans="1:18">
      <c r="A91" s="111" t="s">
        <v>47</v>
      </c>
      <c r="B91" s="11">
        <v>2017</v>
      </c>
      <c r="C91" s="11">
        <v>47</v>
      </c>
      <c r="D91" s="11">
        <v>100</v>
      </c>
      <c r="E91" s="4">
        <v>1.7166666666666666</v>
      </c>
      <c r="F91" s="4">
        <v>5.0166666666666666</v>
      </c>
      <c r="G91" s="4">
        <v>8.4999999999999982</v>
      </c>
      <c r="H91" s="4">
        <v>86.033333333333331</v>
      </c>
      <c r="I91" s="4">
        <v>52.45</v>
      </c>
      <c r="J91" s="4">
        <v>16.083333333333332</v>
      </c>
      <c r="K91" s="4">
        <v>0.66666666666666663</v>
      </c>
      <c r="L91" s="4">
        <v>34.083333333333336</v>
      </c>
      <c r="M91" s="4">
        <v>1.6666666666666666E-2</v>
      </c>
      <c r="N91" s="4">
        <v>19.883333333333333</v>
      </c>
      <c r="O91" s="5">
        <v>0</v>
      </c>
      <c r="P91" s="135"/>
      <c r="Q91" s="9"/>
      <c r="R91" s="9"/>
    </row>
    <row r="92" spans="1:18">
      <c r="A92" s="111" t="s">
        <v>14</v>
      </c>
      <c r="B92" s="11">
        <v>2017</v>
      </c>
      <c r="C92" s="11">
        <v>376</v>
      </c>
      <c r="D92" s="14">
        <v>200</v>
      </c>
      <c r="E92" s="4">
        <v>0.2</v>
      </c>
      <c r="F92" s="4">
        <v>0</v>
      </c>
      <c r="G92" s="4">
        <v>14</v>
      </c>
      <c r="H92" s="4">
        <v>28</v>
      </c>
      <c r="I92" s="4">
        <v>6</v>
      </c>
      <c r="J92" s="4">
        <v>0</v>
      </c>
      <c r="K92" s="4">
        <v>0.4</v>
      </c>
      <c r="L92" s="4">
        <v>0</v>
      </c>
      <c r="M92" s="4">
        <v>0</v>
      </c>
      <c r="N92" s="4">
        <v>0</v>
      </c>
      <c r="O92" s="4">
        <v>0</v>
      </c>
      <c r="P92" s="135"/>
      <c r="Q92" s="9"/>
      <c r="R92" s="9"/>
    </row>
    <row r="93" spans="1:18">
      <c r="A93" s="16" t="s">
        <v>21</v>
      </c>
      <c r="B93" s="10" t="s">
        <v>80</v>
      </c>
      <c r="C93" s="10" t="s">
        <v>80</v>
      </c>
      <c r="D93" s="32">
        <v>20</v>
      </c>
      <c r="E93" s="4">
        <v>1.58</v>
      </c>
      <c r="F93" s="4">
        <v>0.2</v>
      </c>
      <c r="G93" s="4">
        <v>9.66</v>
      </c>
      <c r="H93" s="4">
        <v>46.76</v>
      </c>
      <c r="I93" s="4">
        <v>4.5999999999999996</v>
      </c>
      <c r="J93" s="4">
        <v>6.6</v>
      </c>
      <c r="K93" s="4">
        <v>0.22</v>
      </c>
      <c r="L93" s="4">
        <v>17.399999999999999</v>
      </c>
      <c r="M93" s="4">
        <v>0.08</v>
      </c>
      <c r="N93" s="4">
        <v>0</v>
      </c>
      <c r="O93" s="5">
        <v>0</v>
      </c>
      <c r="P93" s="135"/>
      <c r="Q93" s="9"/>
      <c r="R93" s="9"/>
    </row>
    <row r="94" spans="1:18">
      <c r="A94" s="16" t="s">
        <v>22</v>
      </c>
      <c r="B94" s="10" t="s">
        <v>80</v>
      </c>
      <c r="C94" s="10" t="s">
        <v>80</v>
      </c>
      <c r="D94" s="10">
        <v>40</v>
      </c>
      <c r="E94" s="4">
        <v>2.2400000000000002</v>
      </c>
      <c r="F94" s="4">
        <v>0.44</v>
      </c>
      <c r="G94" s="4">
        <v>19.760000000000002</v>
      </c>
      <c r="H94" s="4">
        <v>91.96</v>
      </c>
      <c r="I94" s="4">
        <v>9.1999999999999993</v>
      </c>
      <c r="J94" s="4">
        <v>10</v>
      </c>
      <c r="K94" s="4">
        <v>1.24</v>
      </c>
      <c r="L94" s="4">
        <v>42.4</v>
      </c>
      <c r="M94" s="4">
        <v>0.04</v>
      </c>
      <c r="N94" s="4">
        <v>0</v>
      </c>
      <c r="O94" s="5">
        <v>0</v>
      </c>
      <c r="P94" s="135"/>
      <c r="Q94" s="9"/>
      <c r="R94" s="9"/>
    </row>
    <row r="95" spans="1:18">
      <c r="A95" s="107" t="s">
        <v>16</v>
      </c>
      <c r="B95" s="96"/>
      <c r="C95" s="96"/>
      <c r="D95" s="12">
        <v>930</v>
      </c>
      <c r="E95" s="13">
        <f>SUM(E87:E94)</f>
        <v>28.348888888888887</v>
      </c>
      <c r="F95" s="13">
        <f>SUM(F87:F94)</f>
        <v>33.756666666666668</v>
      </c>
      <c r="G95" s="13">
        <f>SUM(G87:G94)</f>
        <v>118.92</v>
      </c>
      <c r="H95" s="13">
        <f>SUM(H87:H94)</f>
        <v>866.11333333333334</v>
      </c>
      <c r="I95" s="13">
        <f>SUM(I87:I94)</f>
        <v>359.76587301587301</v>
      </c>
      <c r="J95" s="13">
        <v>120.7811111111111</v>
      </c>
      <c r="K95" s="13">
        <v>5.6746031746031749</v>
      </c>
      <c r="L95" s="13">
        <v>341.24809523809517</v>
      </c>
      <c r="M95" s="13">
        <f>SUM(M87:M94)</f>
        <v>0.48238095238095241</v>
      </c>
      <c r="N95" s="13">
        <f>SUM(N87:N94)</f>
        <v>40.753492063492061</v>
      </c>
      <c r="O95" s="13">
        <f>SUM(O87:O94)</f>
        <v>365.33555555555552</v>
      </c>
      <c r="P95" s="135"/>
      <c r="Q95" s="9"/>
      <c r="R95" s="9"/>
    </row>
    <row r="96" spans="1:18" s="75" customFormat="1">
      <c r="A96" s="115" t="s">
        <v>24</v>
      </c>
      <c r="B96" s="116"/>
      <c r="C96" s="116"/>
      <c r="D96" s="117">
        <f t="shared" ref="D96:O96" si="13">D95+D85</f>
        <v>1480</v>
      </c>
      <c r="E96" s="118">
        <f>E95+E85</f>
        <v>46.588888888888889</v>
      </c>
      <c r="F96" s="118">
        <f t="shared" si="13"/>
        <v>52.551666666666662</v>
      </c>
      <c r="G96" s="118">
        <f>G95+G85</f>
        <v>204.69499999999999</v>
      </c>
      <c r="H96" s="118">
        <f t="shared" si="13"/>
        <v>1444.5533333333333</v>
      </c>
      <c r="I96" s="118">
        <f t="shared" si="13"/>
        <v>738.98492063492063</v>
      </c>
      <c r="J96" s="118">
        <f t="shared" si="13"/>
        <v>210.64301587301588</v>
      </c>
      <c r="K96" s="118">
        <f t="shared" si="13"/>
        <v>8.6488888888888891</v>
      </c>
      <c r="L96" s="118">
        <f t="shared" si="13"/>
        <v>620.71476190476187</v>
      </c>
      <c r="M96" s="118">
        <f t="shared" si="13"/>
        <v>0.80809523809523809</v>
      </c>
      <c r="N96" s="118">
        <f t="shared" si="13"/>
        <v>42.773492063492064</v>
      </c>
      <c r="O96" s="118">
        <f t="shared" si="13"/>
        <v>393.57552698412695</v>
      </c>
      <c r="P96" s="136"/>
      <c r="Q96" s="73"/>
      <c r="R96" s="73"/>
    </row>
    <row r="97" spans="1:18" s="79" customFormat="1">
      <c r="A97" s="173" t="s">
        <v>95</v>
      </c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5"/>
      <c r="P97" s="113"/>
      <c r="Q97" s="124"/>
      <c r="R97" s="124"/>
    </row>
    <row r="98" spans="1:18" s="79" customFormat="1">
      <c r="A98" s="173" t="s">
        <v>90</v>
      </c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5"/>
      <c r="P98" s="170" t="s">
        <v>95</v>
      </c>
      <c r="Q98" s="124"/>
      <c r="R98" s="124"/>
    </row>
    <row r="99" spans="1:18" s="1" customFormat="1" ht="15" customHeight="1">
      <c r="A99" s="127" t="s">
        <v>33</v>
      </c>
      <c r="B99" s="10">
        <v>2017</v>
      </c>
      <c r="C99" s="10" t="s">
        <v>87</v>
      </c>
      <c r="D99" s="11">
        <v>230</v>
      </c>
      <c r="E99" s="4">
        <f>12.45*230/200</f>
        <v>14.317500000000001</v>
      </c>
      <c r="F99" s="4">
        <v>10.97</v>
      </c>
      <c r="G99" s="4">
        <v>36.67</v>
      </c>
      <c r="H99" s="4">
        <v>293.5</v>
      </c>
      <c r="I99" s="4">
        <v>304.07150000000001</v>
      </c>
      <c r="J99" s="4">
        <v>44.481999999999999</v>
      </c>
      <c r="K99" s="4">
        <v>1.0465</v>
      </c>
      <c r="L99" s="4">
        <v>380.60399999999993</v>
      </c>
      <c r="M99" s="4">
        <v>6.8999999999999992E-2</v>
      </c>
      <c r="N99" s="4">
        <v>0.23</v>
      </c>
      <c r="O99" s="5">
        <v>128.44</v>
      </c>
      <c r="P99" s="154"/>
      <c r="Q99" s="3"/>
      <c r="R99" s="3"/>
    </row>
    <row r="100" spans="1:18" s="1" customFormat="1">
      <c r="A100" s="111" t="s">
        <v>27</v>
      </c>
      <c r="B100" s="11">
        <v>2017</v>
      </c>
      <c r="C100" s="11">
        <v>379</v>
      </c>
      <c r="D100" s="11">
        <v>200</v>
      </c>
      <c r="E100" s="4">
        <v>3.6</v>
      </c>
      <c r="F100" s="4">
        <v>2.67</v>
      </c>
      <c r="G100" s="4">
        <v>29.2</v>
      </c>
      <c r="H100" s="4">
        <v>155.19999999999999</v>
      </c>
      <c r="I100" s="4">
        <v>158.66999999999999</v>
      </c>
      <c r="J100" s="4">
        <v>16.8</v>
      </c>
      <c r="K100" s="4">
        <v>0.22</v>
      </c>
      <c r="L100" s="4">
        <v>82.4</v>
      </c>
      <c r="M100" s="4">
        <v>7.0000000000000007E-2</v>
      </c>
      <c r="N100" s="4">
        <v>1.17</v>
      </c>
      <c r="O100" s="4">
        <v>6.84</v>
      </c>
      <c r="P100" s="154"/>
      <c r="Q100" s="3"/>
      <c r="R100" s="3"/>
    </row>
    <row r="101" spans="1:18" s="1" customFormat="1">
      <c r="A101" s="16" t="s">
        <v>96</v>
      </c>
      <c r="B101" s="33">
        <v>2017</v>
      </c>
      <c r="C101" s="33">
        <v>2</v>
      </c>
      <c r="D101" s="11">
        <v>50</v>
      </c>
      <c r="E101" s="4">
        <v>2.23</v>
      </c>
      <c r="F101" s="4">
        <v>3.53</v>
      </c>
      <c r="G101" s="4">
        <v>24.8</v>
      </c>
      <c r="H101" s="4">
        <v>140.4</v>
      </c>
      <c r="I101" s="4">
        <v>9.81</v>
      </c>
      <c r="J101" s="4">
        <v>10.17</v>
      </c>
      <c r="K101" s="4">
        <v>0.78</v>
      </c>
      <c r="L101" s="4">
        <v>26.46</v>
      </c>
      <c r="M101" s="4">
        <v>0.78</v>
      </c>
      <c r="N101" s="4">
        <v>0.05</v>
      </c>
      <c r="O101" s="4">
        <v>20.52</v>
      </c>
      <c r="P101" s="154"/>
      <c r="Q101" s="3"/>
      <c r="R101" s="3"/>
    </row>
    <row r="102" spans="1:18" s="1" customFormat="1">
      <c r="A102" s="111" t="s">
        <v>15</v>
      </c>
      <c r="B102" s="11">
        <v>2017</v>
      </c>
      <c r="C102" s="11">
        <v>338</v>
      </c>
      <c r="D102" s="14">
        <v>100</v>
      </c>
      <c r="E102" s="4">
        <v>0.8</v>
      </c>
      <c r="F102" s="4">
        <v>5.5</v>
      </c>
      <c r="G102" s="4">
        <v>4.3</v>
      </c>
      <c r="H102" s="4">
        <v>67.099999999999994</v>
      </c>
      <c r="I102" s="4">
        <v>17.3</v>
      </c>
      <c r="J102" s="4">
        <v>3.9</v>
      </c>
      <c r="K102" s="4">
        <v>0.2</v>
      </c>
      <c r="L102" s="4">
        <v>21.2</v>
      </c>
      <c r="M102" s="4">
        <v>0</v>
      </c>
      <c r="N102" s="4">
        <v>1.8</v>
      </c>
      <c r="O102" s="4">
        <v>0</v>
      </c>
      <c r="P102" s="154"/>
      <c r="Q102" s="3"/>
      <c r="R102" s="3"/>
    </row>
    <row r="103" spans="1:18" s="1" customFormat="1">
      <c r="A103" s="108" t="s">
        <v>16</v>
      </c>
      <c r="B103" s="101"/>
      <c r="C103" s="101"/>
      <c r="D103" s="12">
        <f t="shared" ref="D103:O103" si="14">SUM(D99:D102)</f>
        <v>580</v>
      </c>
      <c r="E103" s="13">
        <f>SUM(E99:E102)</f>
        <v>20.947500000000002</v>
      </c>
      <c r="F103" s="13">
        <f>SUM(F99:F102)</f>
        <v>22.67</v>
      </c>
      <c r="G103" s="13">
        <f>SUM(G99:G102)</f>
        <v>94.97</v>
      </c>
      <c r="H103" s="13">
        <f>SUM(H99:H102)</f>
        <v>656.2</v>
      </c>
      <c r="I103" s="13">
        <f t="shared" si="14"/>
        <v>489.85149999999999</v>
      </c>
      <c r="J103" s="13">
        <f t="shared" si="14"/>
        <v>75.352000000000004</v>
      </c>
      <c r="K103" s="13">
        <f t="shared" si="14"/>
        <v>2.2465000000000002</v>
      </c>
      <c r="L103" s="13">
        <f t="shared" si="14"/>
        <v>510.66399999999987</v>
      </c>
      <c r="M103" s="13">
        <f t="shared" si="14"/>
        <v>0.91900000000000004</v>
      </c>
      <c r="N103" s="13">
        <f t="shared" si="14"/>
        <v>3.25</v>
      </c>
      <c r="O103" s="13">
        <f t="shared" si="14"/>
        <v>155.80000000000001</v>
      </c>
      <c r="P103" s="154"/>
      <c r="Q103" s="3"/>
      <c r="R103" s="3"/>
    </row>
    <row r="104" spans="1:18" s="1" customFormat="1">
      <c r="A104" s="169" t="s">
        <v>91</v>
      </c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54"/>
      <c r="Q104" s="3"/>
      <c r="R104" s="3"/>
    </row>
    <row r="105" spans="1:18" s="1" customFormat="1" ht="13.9" customHeight="1">
      <c r="A105" s="16" t="s">
        <v>30</v>
      </c>
      <c r="B105" s="29">
        <v>2017</v>
      </c>
      <c r="C105" s="10">
        <v>112</v>
      </c>
      <c r="D105" s="11">
        <v>250</v>
      </c>
      <c r="E105" s="4">
        <v>2.6625000000000001</v>
      </c>
      <c r="F105" s="4">
        <v>4.5875000000000004</v>
      </c>
      <c r="G105" s="4">
        <v>17.137499999999999</v>
      </c>
      <c r="H105" s="4">
        <v>116.23</v>
      </c>
      <c r="I105" s="4">
        <v>24.6</v>
      </c>
      <c r="J105" s="4">
        <v>27</v>
      </c>
      <c r="K105" s="4">
        <v>1.0874999999999999</v>
      </c>
      <c r="L105" s="4">
        <v>26.65</v>
      </c>
      <c r="M105" s="4">
        <v>0.1125</v>
      </c>
      <c r="N105" s="4">
        <v>8.25</v>
      </c>
      <c r="O105" s="5">
        <v>22.8</v>
      </c>
      <c r="P105" s="154"/>
      <c r="Q105" s="3"/>
      <c r="R105" s="3"/>
    </row>
    <row r="106" spans="1:18" s="1" customFormat="1">
      <c r="A106" s="16" t="s">
        <v>17</v>
      </c>
      <c r="B106" s="29">
        <v>2017</v>
      </c>
      <c r="C106" s="10">
        <v>288</v>
      </c>
      <c r="D106" s="32">
        <v>10</v>
      </c>
      <c r="E106" s="4">
        <v>2.11</v>
      </c>
      <c r="F106" s="4">
        <v>1.36</v>
      </c>
      <c r="G106" s="4">
        <v>0</v>
      </c>
      <c r="H106" s="4">
        <v>20.67</v>
      </c>
      <c r="I106" s="4">
        <v>3.9</v>
      </c>
      <c r="J106" s="4">
        <v>2</v>
      </c>
      <c r="K106" s="4">
        <v>0.18</v>
      </c>
      <c r="L106" s="4">
        <v>14.3</v>
      </c>
      <c r="M106" s="4">
        <v>0.04</v>
      </c>
      <c r="N106" s="4">
        <v>0</v>
      </c>
      <c r="O106" s="4">
        <v>2.2799999999999998</v>
      </c>
      <c r="P106" s="154"/>
      <c r="Q106" s="3"/>
      <c r="R106" s="3"/>
    </row>
    <row r="107" spans="1:18" s="1" customFormat="1">
      <c r="A107" s="16" t="s">
        <v>18</v>
      </c>
      <c r="B107" s="10">
        <v>2017</v>
      </c>
      <c r="C107" s="10">
        <v>255</v>
      </c>
      <c r="D107" s="32">
        <v>100</v>
      </c>
      <c r="E107" s="4">
        <v>10.130000000000001</v>
      </c>
      <c r="F107" s="4">
        <v>11.23</v>
      </c>
      <c r="G107" s="4">
        <v>3.9</v>
      </c>
      <c r="H107" s="4">
        <v>163.41999999999999</v>
      </c>
      <c r="I107" s="4">
        <v>38.24</v>
      </c>
      <c r="J107" s="4">
        <v>17.47</v>
      </c>
      <c r="K107" s="4">
        <v>4.7444444444444436</v>
      </c>
      <c r="L107" s="4">
        <v>239.32</v>
      </c>
      <c r="M107" s="4">
        <v>0.2</v>
      </c>
      <c r="N107" s="4">
        <v>4.12</v>
      </c>
      <c r="O107" s="5">
        <v>366.51</v>
      </c>
      <c r="P107" s="154"/>
      <c r="Q107" s="3"/>
      <c r="R107" s="3"/>
    </row>
    <row r="108" spans="1:18" s="1" customFormat="1">
      <c r="A108" s="16" t="s">
        <v>19</v>
      </c>
      <c r="B108" s="33">
        <v>2017</v>
      </c>
      <c r="C108" s="33">
        <v>302</v>
      </c>
      <c r="D108" s="32">
        <v>200</v>
      </c>
      <c r="E108" s="4">
        <v>5.0999999999999996</v>
      </c>
      <c r="F108" s="4">
        <f>5.17*200/150</f>
        <v>6.8933333333333335</v>
      </c>
      <c r="G108" s="4">
        <v>47.76</v>
      </c>
      <c r="H108" s="4">
        <v>261.54000000000002</v>
      </c>
      <c r="I108" s="4">
        <v>17.306666666666668</v>
      </c>
      <c r="J108" s="4">
        <v>43.333333333333336</v>
      </c>
      <c r="K108" s="4">
        <v>5.2666666666666666</v>
      </c>
      <c r="L108" s="4">
        <v>144.66666666666666</v>
      </c>
      <c r="M108" s="4">
        <v>0.13333333333333333</v>
      </c>
      <c r="N108" s="4">
        <v>0</v>
      </c>
      <c r="O108" s="5">
        <v>2.6666666666666668E-2</v>
      </c>
      <c r="P108" s="154"/>
      <c r="Q108" s="3"/>
      <c r="R108" s="3"/>
    </row>
    <row r="109" spans="1:18" s="1" customFormat="1">
      <c r="A109" s="98" t="s">
        <v>74</v>
      </c>
      <c r="B109" s="10">
        <v>2017</v>
      </c>
      <c r="C109" s="10">
        <v>10</v>
      </c>
      <c r="D109" s="102">
        <v>100</v>
      </c>
      <c r="E109" s="18">
        <v>2.98</v>
      </c>
      <c r="F109" s="18">
        <v>5.19</v>
      </c>
      <c r="G109" s="18">
        <v>6.25</v>
      </c>
      <c r="H109" s="18">
        <v>83.6</v>
      </c>
      <c r="I109" s="18">
        <v>21.45</v>
      </c>
      <c r="J109" s="18">
        <v>20.8</v>
      </c>
      <c r="K109" s="18">
        <v>0.68</v>
      </c>
      <c r="L109" s="18">
        <v>26.566666666666666</v>
      </c>
      <c r="M109" s="18">
        <v>0.11</v>
      </c>
      <c r="N109" s="18">
        <v>11</v>
      </c>
      <c r="O109" s="18">
        <v>1.3</v>
      </c>
      <c r="P109" s="154"/>
      <c r="Q109" s="3"/>
      <c r="R109" s="3"/>
    </row>
    <row r="110" spans="1:18" s="1" customFormat="1">
      <c r="A110" s="36" t="s">
        <v>70</v>
      </c>
      <c r="B110" s="30">
        <v>2008</v>
      </c>
      <c r="C110" s="30">
        <v>436</v>
      </c>
      <c r="D110" s="103">
        <v>200</v>
      </c>
      <c r="E110" s="11">
        <v>0.18</v>
      </c>
      <c r="F110" s="11">
        <v>0.02</v>
      </c>
      <c r="G110" s="11">
        <v>27.46</v>
      </c>
      <c r="H110" s="11">
        <v>94.58</v>
      </c>
      <c r="I110" s="11">
        <v>16.3</v>
      </c>
      <c r="J110" s="11">
        <v>4.0999999999999996</v>
      </c>
      <c r="K110" s="11">
        <v>0.18</v>
      </c>
      <c r="L110" s="11">
        <v>4.4000000000000004</v>
      </c>
      <c r="M110" s="11">
        <v>0.03</v>
      </c>
      <c r="N110" s="11">
        <v>25.5</v>
      </c>
      <c r="O110" s="11">
        <v>0.1</v>
      </c>
      <c r="P110" s="154"/>
      <c r="Q110" s="3"/>
      <c r="R110" s="3"/>
    </row>
    <row r="111" spans="1:18" s="1" customFormat="1">
      <c r="A111" s="16" t="s">
        <v>21</v>
      </c>
      <c r="B111" s="10" t="s">
        <v>80</v>
      </c>
      <c r="C111" s="10" t="s">
        <v>80</v>
      </c>
      <c r="D111" s="32">
        <v>20</v>
      </c>
      <c r="E111" s="4">
        <v>1.58</v>
      </c>
      <c r="F111" s="4">
        <v>0.2</v>
      </c>
      <c r="G111" s="4">
        <v>9.66</v>
      </c>
      <c r="H111" s="4">
        <v>46.76</v>
      </c>
      <c r="I111" s="4">
        <v>4.5999999999999996</v>
      </c>
      <c r="J111" s="4">
        <v>6.6</v>
      </c>
      <c r="K111" s="4">
        <v>0.22</v>
      </c>
      <c r="L111" s="4">
        <v>17.399999999999999</v>
      </c>
      <c r="M111" s="4">
        <v>0.08</v>
      </c>
      <c r="N111" s="4">
        <v>0</v>
      </c>
      <c r="O111" s="4">
        <v>0</v>
      </c>
      <c r="P111" s="154"/>
      <c r="Q111" s="3"/>
      <c r="R111" s="3"/>
    </row>
    <row r="112" spans="1:18" s="1" customFormat="1">
      <c r="A112" s="16" t="s">
        <v>22</v>
      </c>
      <c r="B112" s="10" t="s">
        <v>80</v>
      </c>
      <c r="C112" s="10" t="s">
        <v>80</v>
      </c>
      <c r="D112" s="10">
        <v>40</v>
      </c>
      <c r="E112" s="4">
        <v>2.2400000000000002</v>
      </c>
      <c r="F112" s="4">
        <v>0.44</v>
      </c>
      <c r="G112" s="4">
        <v>19.760000000000002</v>
      </c>
      <c r="H112" s="4">
        <v>91.96</v>
      </c>
      <c r="I112" s="4">
        <v>9.1999999999999993</v>
      </c>
      <c r="J112" s="4">
        <v>10</v>
      </c>
      <c r="K112" s="4">
        <v>1.24</v>
      </c>
      <c r="L112" s="4">
        <v>42.4</v>
      </c>
      <c r="M112" s="4">
        <v>0.04</v>
      </c>
      <c r="N112" s="4">
        <v>0</v>
      </c>
      <c r="O112" s="4">
        <v>0</v>
      </c>
      <c r="P112" s="154"/>
      <c r="Q112" s="3"/>
      <c r="R112" s="3"/>
    </row>
    <row r="113" spans="1:18" s="1" customFormat="1">
      <c r="A113" s="108" t="s">
        <v>16</v>
      </c>
      <c r="B113" s="101"/>
      <c r="C113" s="101"/>
      <c r="D113" s="12">
        <v>920</v>
      </c>
      <c r="E113" s="13">
        <f>SUM(E105:E112)</f>
        <v>26.982500000000002</v>
      </c>
      <c r="F113" s="13">
        <f>SUM(F105:F112)</f>
        <v>29.920833333333338</v>
      </c>
      <c r="G113" s="13">
        <f>SUM(G105:G112)</f>
        <v>131.92749999999998</v>
      </c>
      <c r="H113" s="13">
        <f>SUM(H105:H112)</f>
        <v>878.7600000000001</v>
      </c>
      <c r="I113" s="13">
        <f t="shared" ref="I113:O113" si="15">SUM(I105:I112)</f>
        <v>135.59666666666666</v>
      </c>
      <c r="J113" s="13">
        <f t="shared" si="15"/>
        <v>131.30333333333334</v>
      </c>
      <c r="K113" s="13">
        <f t="shared" si="15"/>
        <v>13.598611111111111</v>
      </c>
      <c r="L113" s="13">
        <f t="shared" si="15"/>
        <v>515.70333333333326</v>
      </c>
      <c r="M113" s="13">
        <f t="shared" si="15"/>
        <v>0.74583333333333335</v>
      </c>
      <c r="N113" s="13">
        <f t="shared" si="15"/>
        <v>48.870000000000005</v>
      </c>
      <c r="O113" s="13">
        <f t="shared" si="15"/>
        <v>393.01666666666665</v>
      </c>
      <c r="P113" s="154"/>
      <c r="Q113" s="3"/>
      <c r="R113" s="3"/>
    </row>
    <row r="114" spans="1:18" s="79" customFormat="1">
      <c r="A114" s="115" t="s">
        <v>24</v>
      </c>
      <c r="B114" s="126"/>
      <c r="C114" s="126"/>
      <c r="D114" s="117">
        <f t="shared" ref="D114:O114" si="16">D113+D103</f>
        <v>1500</v>
      </c>
      <c r="E114" s="118">
        <f t="shared" si="16"/>
        <v>47.930000000000007</v>
      </c>
      <c r="F114" s="118">
        <f t="shared" si="16"/>
        <v>52.590833333333336</v>
      </c>
      <c r="G114" s="118">
        <f t="shared" si="16"/>
        <v>226.89749999999998</v>
      </c>
      <c r="H114" s="118">
        <f t="shared" si="16"/>
        <v>1534.96</v>
      </c>
      <c r="I114" s="118">
        <f t="shared" si="16"/>
        <v>625.44816666666668</v>
      </c>
      <c r="J114" s="118">
        <f t="shared" si="16"/>
        <v>206.65533333333335</v>
      </c>
      <c r="K114" s="118">
        <f t="shared" si="16"/>
        <v>15.845111111111112</v>
      </c>
      <c r="L114" s="118">
        <f t="shared" si="16"/>
        <v>1026.3673333333331</v>
      </c>
      <c r="M114" s="118">
        <f t="shared" si="16"/>
        <v>1.6648333333333334</v>
      </c>
      <c r="N114" s="118">
        <f t="shared" si="16"/>
        <v>52.120000000000005</v>
      </c>
      <c r="O114" s="118">
        <f t="shared" si="16"/>
        <v>548.81666666666661</v>
      </c>
      <c r="P114" s="171"/>
      <c r="Q114" s="124"/>
      <c r="R114" s="124"/>
    </row>
    <row r="115" spans="1:18" s="75" customFormat="1">
      <c r="A115" s="119" t="s">
        <v>94</v>
      </c>
      <c r="B115" s="125"/>
      <c r="C115" s="125"/>
      <c r="D115" s="122">
        <f t="shared" ref="D115:L115" si="17">(D114+D96+D78+D60+D43+D25)/6</f>
        <v>1472.5</v>
      </c>
      <c r="E115" s="122">
        <f t="shared" si="17"/>
        <v>47.490850529100527</v>
      </c>
      <c r="F115" s="122">
        <f t="shared" si="17"/>
        <v>50.310958994709004</v>
      </c>
      <c r="G115" s="122">
        <f t="shared" si="17"/>
        <v>207.92538888888893</v>
      </c>
      <c r="H115" s="122">
        <f t="shared" si="17"/>
        <v>1465.8930092592591</v>
      </c>
      <c r="I115" s="122">
        <f t="shared" si="17"/>
        <v>621.2182526455025</v>
      </c>
      <c r="J115" s="122">
        <f t="shared" si="17"/>
        <v>186.95221957671959</v>
      </c>
      <c r="K115" s="122">
        <f t="shared" si="17"/>
        <v>10.771198412698412</v>
      </c>
      <c r="L115" s="122">
        <f t="shared" si="17"/>
        <v>708.26904365079372</v>
      </c>
      <c r="M115" s="122">
        <v>0.78</v>
      </c>
      <c r="N115" s="122">
        <f>(N114+N96+N78+N60+N43+N25)/6</f>
        <v>41.06113095238095</v>
      </c>
      <c r="O115" s="122">
        <f>(O114+O96+O78+O60+O43+O25)/6</f>
        <v>458.23857328042322</v>
      </c>
      <c r="P115" s="74"/>
      <c r="Q115" s="73"/>
      <c r="R115" s="73"/>
    </row>
    <row r="116" spans="1:18" s="75" customFormat="1">
      <c r="A116" s="172" t="s">
        <v>61</v>
      </c>
      <c r="B116" s="176"/>
      <c r="C116" s="176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14"/>
      <c r="Q116" s="114"/>
      <c r="R116" s="114"/>
    </row>
    <row r="117" spans="1:18" s="75" customFormat="1">
      <c r="A117" s="172" t="s">
        <v>90</v>
      </c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73"/>
      <c r="Q117" s="73"/>
      <c r="R117" s="73"/>
    </row>
    <row r="118" spans="1:18" s="1" customFormat="1" ht="17.45" customHeight="1">
      <c r="A118" s="98" t="s">
        <v>57</v>
      </c>
      <c r="B118" s="29">
        <v>2017</v>
      </c>
      <c r="C118" s="29">
        <v>173</v>
      </c>
      <c r="D118" s="103">
        <v>260</v>
      </c>
      <c r="E118" s="4">
        <v>7.64</v>
      </c>
      <c r="F118" s="4">
        <v>12.97</v>
      </c>
      <c r="G118" s="4">
        <v>82.65</v>
      </c>
      <c r="H118" s="4">
        <v>389.10857142857139</v>
      </c>
      <c r="I118" s="4">
        <v>237.96190476190475</v>
      </c>
      <c r="J118" s="4">
        <v>28.550476190476189</v>
      </c>
      <c r="K118" s="4">
        <v>1.460952380952381</v>
      </c>
      <c r="L118" s="4">
        <v>144.85714285714286</v>
      </c>
      <c r="M118" s="4">
        <v>0.21047619047619048</v>
      </c>
      <c r="N118" s="4">
        <v>0.66857142857142859</v>
      </c>
      <c r="O118" s="5">
        <v>26.51882086167798</v>
      </c>
      <c r="P118" s="162" t="s">
        <v>61</v>
      </c>
      <c r="Q118" s="3"/>
      <c r="R118" s="3"/>
    </row>
    <row r="119" spans="1:18" s="1" customFormat="1">
      <c r="A119" s="111" t="s">
        <v>36</v>
      </c>
      <c r="B119" s="41">
        <v>2017</v>
      </c>
      <c r="C119" s="41">
        <v>8</v>
      </c>
      <c r="D119" s="11">
        <v>200</v>
      </c>
      <c r="E119" s="4">
        <v>0.67777777777777781</v>
      </c>
      <c r="F119" s="4">
        <v>0.27777777777777779</v>
      </c>
      <c r="G119" s="4">
        <v>17.977777777777778</v>
      </c>
      <c r="H119" s="4">
        <v>77.12222222222222</v>
      </c>
      <c r="I119" s="4">
        <v>21.333333333333332</v>
      </c>
      <c r="J119" s="4">
        <v>3.4444444444444446</v>
      </c>
      <c r="K119" s="4">
        <v>0.6333333333333333</v>
      </c>
      <c r="L119" s="4">
        <v>3.4444444444444446</v>
      </c>
      <c r="M119" s="4">
        <v>0.01</v>
      </c>
      <c r="N119" s="4">
        <v>19</v>
      </c>
      <c r="O119" s="5">
        <v>0</v>
      </c>
      <c r="P119" s="162"/>
      <c r="Q119" s="3"/>
      <c r="R119" s="3"/>
    </row>
    <row r="120" spans="1:18" s="1" customFormat="1">
      <c r="A120" s="111" t="s">
        <v>56</v>
      </c>
      <c r="B120" s="11">
        <v>2017</v>
      </c>
      <c r="C120" s="11">
        <v>209</v>
      </c>
      <c r="D120" s="11">
        <v>40</v>
      </c>
      <c r="E120" s="4">
        <v>5.0999999999999996</v>
      </c>
      <c r="F120" s="4">
        <v>4.5999999999999996</v>
      </c>
      <c r="G120" s="4">
        <v>0.3</v>
      </c>
      <c r="H120" s="4">
        <v>63</v>
      </c>
      <c r="I120" s="4">
        <v>22</v>
      </c>
      <c r="J120" s="4">
        <v>4.8</v>
      </c>
      <c r="K120" s="4">
        <v>1</v>
      </c>
      <c r="L120" s="4">
        <v>76.8</v>
      </c>
      <c r="M120" s="4">
        <v>0.03</v>
      </c>
      <c r="N120" s="4">
        <v>0</v>
      </c>
      <c r="O120" s="5">
        <v>0.11399999999999999</v>
      </c>
      <c r="P120" s="162"/>
      <c r="Q120" s="3"/>
      <c r="R120" s="3"/>
    </row>
    <row r="121" spans="1:18" s="1" customFormat="1">
      <c r="A121" s="111" t="s">
        <v>13</v>
      </c>
      <c r="B121" s="10" t="s">
        <v>80</v>
      </c>
      <c r="C121" s="10" t="s">
        <v>80</v>
      </c>
      <c r="D121" s="14">
        <v>60</v>
      </c>
      <c r="E121" s="4">
        <v>4.74</v>
      </c>
      <c r="F121" s="4">
        <v>0.6</v>
      </c>
      <c r="G121" s="4">
        <v>28.98</v>
      </c>
      <c r="H121" s="4">
        <v>140.28</v>
      </c>
      <c r="I121" s="4">
        <v>13.8</v>
      </c>
      <c r="J121" s="4">
        <v>19.8</v>
      </c>
      <c r="K121" s="4">
        <v>0.66</v>
      </c>
      <c r="L121" s="4">
        <v>52.2</v>
      </c>
      <c r="M121" s="4">
        <v>0.1</v>
      </c>
      <c r="N121" s="4">
        <v>0</v>
      </c>
      <c r="O121" s="5">
        <v>0</v>
      </c>
      <c r="P121" s="162"/>
      <c r="Q121" s="3"/>
      <c r="R121" s="3"/>
    </row>
    <row r="122" spans="1:18" s="1" customFormat="1">
      <c r="A122" s="108" t="s">
        <v>16</v>
      </c>
      <c r="B122" s="99"/>
      <c r="C122" s="99"/>
      <c r="D122" s="12">
        <v>560</v>
      </c>
      <c r="E122" s="13">
        <f>SUM(E118:E121)</f>
        <v>18.157777777777778</v>
      </c>
      <c r="F122" s="13">
        <f>SUM(F118:F121)</f>
        <v>18.44777777777778</v>
      </c>
      <c r="G122" s="13">
        <f>SUM(G118:G121)</f>
        <v>129.90777777777777</v>
      </c>
      <c r="H122" s="13">
        <f>SUM(H118:H121)</f>
        <v>669.51079365079363</v>
      </c>
      <c r="I122" s="13">
        <f t="shared" ref="I122:O122" si="18">SUM(I118:I121)</f>
        <v>295.09523809523807</v>
      </c>
      <c r="J122" s="13">
        <f t="shared" si="18"/>
        <v>56.594920634920626</v>
      </c>
      <c r="K122" s="13">
        <f t="shared" si="18"/>
        <v>3.7542857142857144</v>
      </c>
      <c r="L122" s="13">
        <f t="shared" si="18"/>
        <v>277.30158730158729</v>
      </c>
      <c r="M122" s="13">
        <f t="shared" si="18"/>
        <v>0.3504761904761905</v>
      </c>
      <c r="N122" s="13">
        <f t="shared" si="18"/>
        <v>19.668571428571429</v>
      </c>
      <c r="O122" s="15">
        <f t="shared" si="18"/>
        <v>26.632820861677981</v>
      </c>
      <c r="P122" s="162"/>
      <c r="Q122" s="3"/>
      <c r="R122" s="3"/>
    </row>
    <row r="123" spans="1:18" s="1" customFormat="1" ht="12.6" customHeight="1">
      <c r="A123" s="169" t="s">
        <v>91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2"/>
      <c r="Q123" s="3"/>
      <c r="R123" s="3"/>
    </row>
    <row r="124" spans="1:18" s="1" customFormat="1">
      <c r="A124" s="16" t="s">
        <v>58</v>
      </c>
      <c r="B124" s="10">
        <v>2017</v>
      </c>
      <c r="C124" s="10">
        <v>102</v>
      </c>
      <c r="D124" s="32">
        <v>250</v>
      </c>
      <c r="E124" s="4">
        <v>5.49</v>
      </c>
      <c r="F124" s="4">
        <v>5.28</v>
      </c>
      <c r="G124" s="4">
        <v>16.329999999999998</v>
      </c>
      <c r="H124" s="4">
        <v>134.75</v>
      </c>
      <c r="I124" s="4">
        <v>38.08</v>
      </c>
      <c r="J124" s="4">
        <v>35.299999999999997</v>
      </c>
      <c r="K124" s="4">
        <v>2.0299999999999998</v>
      </c>
      <c r="L124" s="4">
        <v>87.18</v>
      </c>
      <c r="M124" s="4">
        <v>0.08</v>
      </c>
      <c r="N124" s="4">
        <v>5.81</v>
      </c>
      <c r="O124" s="5">
        <v>0</v>
      </c>
      <c r="P124" s="162"/>
      <c r="Q124" s="3"/>
      <c r="R124" s="3"/>
    </row>
    <row r="125" spans="1:18" s="1" customFormat="1">
      <c r="A125" s="16" t="s">
        <v>17</v>
      </c>
      <c r="B125" s="29">
        <v>2017</v>
      </c>
      <c r="C125" s="10">
        <v>288</v>
      </c>
      <c r="D125" s="32">
        <v>10</v>
      </c>
      <c r="E125" s="4">
        <v>2.11</v>
      </c>
      <c r="F125" s="4">
        <v>1.36</v>
      </c>
      <c r="G125" s="4">
        <v>0</v>
      </c>
      <c r="H125" s="4">
        <v>20.67</v>
      </c>
      <c r="I125" s="4">
        <v>3.9</v>
      </c>
      <c r="J125" s="4">
        <v>2</v>
      </c>
      <c r="K125" s="4">
        <v>0.18</v>
      </c>
      <c r="L125" s="4">
        <v>14.3</v>
      </c>
      <c r="M125" s="4">
        <v>0.04</v>
      </c>
      <c r="N125" s="4">
        <v>0</v>
      </c>
      <c r="O125" s="5">
        <v>2.2799999999999998</v>
      </c>
      <c r="P125" s="162"/>
      <c r="Q125" s="3"/>
      <c r="R125" s="3"/>
    </row>
    <row r="126" spans="1:18" s="1" customFormat="1">
      <c r="A126" s="111" t="s">
        <v>59</v>
      </c>
      <c r="B126" s="10">
        <v>2017</v>
      </c>
      <c r="C126" s="11">
        <v>291</v>
      </c>
      <c r="D126" s="11">
        <v>250</v>
      </c>
      <c r="E126" s="4">
        <v>19.05</v>
      </c>
      <c r="F126" s="4">
        <v>20.58</v>
      </c>
      <c r="G126" s="4">
        <f>42*250/200</f>
        <v>52.5</v>
      </c>
      <c r="H126" s="5">
        <v>489.94</v>
      </c>
      <c r="I126" s="6">
        <f>45.1*250/200</f>
        <v>56.375</v>
      </c>
      <c r="J126" s="6">
        <f>47.5*250/200</f>
        <v>59.375</v>
      </c>
      <c r="K126" s="6">
        <f>2.19*250/200</f>
        <v>2.7374999999999998</v>
      </c>
      <c r="L126" s="6">
        <v>179.13</v>
      </c>
      <c r="M126" s="6">
        <f>0.06*250/200</f>
        <v>7.4999999999999997E-2</v>
      </c>
      <c r="N126" s="6">
        <f>1.01*250/200</f>
        <v>1.2625</v>
      </c>
      <c r="O126" s="7">
        <f>248.03*250/200</f>
        <v>310.03750000000002</v>
      </c>
      <c r="P126" s="162"/>
      <c r="Q126" s="3"/>
      <c r="R126" s="3"/>
    </row>
    <row r="127" spans="1:18" s="1" customFormat="1">
      <c r="A127" s="111" t="s">
        <v>64</v>
      </c>
      <c r="B127" s="11">
        <v>2008</v>
      </c>
      <c r="C127" s="11">
        <v>17</v>
      </c>
      <c r="D127" s="11">
        <v>100</v>
      </c>
      <c r="E127" s="4">
        <v>0.8666666666666667</v>
      </c>
      <c r="F127" s="4">
        <v>3.12</v>
      </c>
      <c r="G127" s="4">
        <v>2.6166666666666667</v>
      </c>
      <c r="H127" s="4">
        <v>59.800000000000004</v>
      </c>
      <c r="I127" s="4">
        <v>23.283333333333335</v>
      </c>
      <c r="J127" s="4">
        <v>13.433333333333334</v>
      </c>
      <c r="K127" s="4">
        <v>0.222</v>
      </c>
      <c r="L127" s="4">
        <v>28.233333333333338</v>
      </c>
      <c r="M127" s="4">
        <v>1.6666666666666666E-2</v>
      </c>
      <c r="N127" s="4">
        <v>5.55</v>
      </c>
      <c r="O127" s="5">
        <v>0</v>
      </c>
      <c r="P127" s="162"/>
      <c r="Q127" s="3"/>
      <c r="R127" s="3"/>
    </row>
    <row r="128" spans="1:18" s="1" customFormat="1" ht="14.45" customHeight="1">
      <c r="A128" s="109" t="s">
        <v>23</v>
      </c>
      <c r="B128" s="33">
        <v>2017</v>
      </c>
      <c r="C128" s="33">
        <v>349</v>
      </c>
      <c r="D128" s="33">
        <v>200</v>
      </c>
      <c r="E128" s="26">
        <v>0.04</v>
      </c>
      <c r="F128" s="26">
        <v>0</v>
      </c>
      <c r="G128" s="26">
        <v>24.76</v>
      </c>
      <c r="H128" s="26">
        <v>94.2</v>
      </c>
      <c r="I128" s="26">
        <v>6.4</v>
      </c>
      <c r="J128" s="26">
        <v>0</v>
      </c>
      <c r="K128" s="26">
        <v>0.18</v>
      </c>
      <c r="L128" s="26">
        <v>3.6</v>
      </c>
      <c r="M128" s="26">
        <v>0.01</v>
      </c>
      <c r="N128" s="26">
        <v>1.08</v>
      </c>
      <c r="O128" s="26">
        <v>0</v>
      </c>
      <c r="P128" s="162"/>
      <c r="Q128" s="3"/>
      <c r="R128" s="3"/>
    </row>
    <row r="129" spans="1:18" s="1" customFormat="1">
      <c r="A129" s="16" t="s">
        <v>21</v>
      </c>
      <c r="B129" s="10" t="s">
        <v>80</v>
      </c>
      <c r="C129" s="10" t="s">
        <v>80</v>
      </c>
      <c r="D129" s="32">
        <v>20</v>
      </c>
      <c r="E129" s="4">
        <v>1.58</v>
      </c>
      <c r="F129" s="4">
        <v>0.2</v>
      </c>
      <c r="G129" s="4">
        <v>9.66</v>
      </c>
      <c r="H129" s="4">
        <v>46.76</v>
      </c>
      <c r="I129" s="4">
        <v>4.5999999999999996</v>
      </c>
      <c r="J129" s="4">
        <v>6.6</v>
      </c>
      <c r="K129" s="4">
        <v>0.22</v>
      </c>
      <c r="L129" s="4">
        <v>17.399999999999999</v>
      </c>
      <c r="M129" s="4">
        <v>0.08</v>
      </c>
      <c r="N129" s="4">
        <v>0</v>
      </c>
      <c r="O129" s="5">
        <v>0</v>
      </c>
      <c r="P129" s="162"/>
      <c r="Q129" s="3"/>
      <c r="R129" s="3"/>
    </row>
    <row r="130" spans="1:18" s="1" customFormat="1">
      <c r="A130" s="16" t="s">
        <v>22</v>
      </c>
      <c r="B130" s="10" t="s">
        <v>80</v>
      </c>
      <c r="C130" s="10" t="s">
        <v>80</v>
      </c>
      <c r="D130" s="10">
        <v>40</v>
      </c>
      <c r="E130" s="4">
        <v>2.2400000000000002</v>
      </c>
      <c r="F130" s="4">
        <v>0.44</v>
      </c>
      <c r="G130" s="4">
        <v>19.760000000000002</v>
      </c>
      <c r="H130" s="4">
        <v>91.96</v>
      </c>
      <c r="I130" s="4">
        <v>9.1999999999999993</v>
      </c>
      <c r="J130" s="4">
        <v>10</v>
      </c>
      <c r="K130" s="4">
        <v>1.24</v>
      </c>
      <c r="L130" s="4">
        <v>42.4</v>
      </c>
      <c r="M130" s="4">
        <v>0.04</v>
      </c>
      <c r="N130" s="4">
        <v>0</v>
      </c>
      <c r="O130" s="5">
        <v>0</v>
      </c>
      <c r="P130" s="162"/>
      <c r="Q130" s="3"/>
      <c r="R130" s="3"/>
    </row>
    <row r="131" spans="1:18">
      <c r="A131" s="108" t="s">
        <v>16</v>
      </c>
      <c r="B131" s="99"/>
      <c r="C131" s="99"/>
      <c r="D131" s="12">
        <v>870</v>
      </c>
      <c r="E131" s="13">
        <f>SUM(E124:E130)</f>
        <v>31.376666666666665</v>
      </c>
      <c r="F131" s="13">
        <f>SUM(F124:F130)</f>
        <v>30.98</v>
      </c>
      <c r="G131" s="13">
        <f>SUM(G124:G130)</f>
        <v>125.62666666666667</v>
      </c>
      <c r="H131" s="13">
        <f>SUM(H124:H130)</f>
        <v>938.08</v>
      </c>
      <c r="I131" s="13">
        <f t="shared" ref="I131:O131" si="19">SUM(I124:I130)</f>
        <v>141.83833333333331</v>
      </c>
      <c r="J131" s="13">
        <f t="shared" si="19"/>
        <v>126.70833333333333</v>
      </c>
      <c r="K131" s="13">
        <f t="shared" si="19"/>
        <v>6.8094999999999999</v>
      </c>
      <c r="L131" s="13">
        <f t="shared" si="19"/>
        <v>372.24333333333334</v>
      </c>
      <c r="M131" s="13">
        <f t="shared" si="19"/>
        <v>0.34166666666666667</v>
      </c>
      <c r="N131" s="13">
        <f t="shared" si="19"/>
        <v>13.702499999999999</v>
      </c>
      <c r="O131" s="15">
        <f t="shared" si="19"/>
        <v>312.3175</v>
      </c>
      <c r="P131" s="162"/>
      <c r="Q131" s="9"/>
      <c r="R131" s="9"/>
    </row>
    <row r="132" spans="1:18" s="75" customFormat="1">
      <c r="A132" s="115" t="s">
        <v>24</v>
      </c>
      <c r="B132" s="116"/>
      <c r="C132" s="116"/>
      <c r="D132" s="117">
        <v>1430</v>
      </c>
      <c r="E132" s="118">
        <f>E131+E122</f>
        <v>49.534444444444446</v>
      </c>
      <c r="F132" s="118">
        <f>F131+F122</f>
        <v>49.427777777777777</v>
      </c>
      <c r="G132" s="118">
        <f>G131+G122</f>
        <v>255.53444444444443</v>
      </c>
      <c r="H132" s="118">
        <f>H131+H122</f>
        <v>1607.5907936507938</v>
      </c>
      <c r="I132" s="118">
        <f t="shared" ref="I132:L132" si="20">I131+I122</f>
        <v>436.93357142857138</v>
      </c>
      <c r="J132" s="118">
        <f t="shared" si="20"/>
        <v>183.30325396825396</v>
      </c>
      <c r="K132" s="118">
        <f t="shared" si="20"/>
        <v>10.563785714285714</v>
      </c>
      <c r="L132" s="118">
        <f t="shared" si="20"/>
        <v>649.54492063492057</v>
      </c>
      <c r="M132" s="118">
        <f>M131+M122</f>
        <v>0.69214285714285717</v>
      </c>
      <c r="N132" s="118">
        <f>N131+N122</f>
        <v>33.371071428571426</v>
      </c>
      <c r="O132" s="123">
        <f>O131+O122</f>
        <v>338.95032086167799</v>
      </c>
      <c r="P132" s="162"/>
      <c r="Q132" s="73"/>
      <c r="R132" s="73"/>
    </row>
    <row r="133" spans="1:18" s="75" customFormat="1">
      <c r="A133" s="172" t="s">
        <v>66</v>
      </c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73"/>
      <c r="Q133" s="73"/>
      <c r="R133" s="73"/>
    </row>
    <row r="134" spans="1:18" s="75" customFormat="1">
      <c r="A134" s="168" t="s">
        <v>90</v>
      </c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73"/>
      <c r="Q134" s="73"/>
      <c r="R134" s="73"/>
    </row>
    <row r="135" spans="1:18" ht="30">
      <c r="A135" s="16" t="s">
        <v>62</v>
      </c>
      <c r="B135" s="10">
        <v>2017</v>
      </c>
      <c r="C135" s="10">
        <v>188</v>
      </c>
      <c r="D135" s="14">
        <v>210</v>
      </c>
      <c r="E135" s="4">
        <f>9.09*210/180</f>
        <v>10.604999999999999</v>
      </c>
      <c r="F135" s="4">
        <f>4.28*210/180</f>
        <v>4.9933333333333341</v>
      </c>
      <c r="G135" s="4">
        <f>32.27*210/180</f>
        <v>37.648333333333341</v>
      </c>
      <c r="H135" s="4">
        <v>228.54</v>
      </c>
      <c r="I135" s="4">
        <v>182.4433333333333</v>
      </c>
      <c r="J135" s="4">
        <v>31.803333333333335</v>
      </c>
      <c r="K135" s="4">
        <v>1.4350000000000001</v>
      </c>
      <c r="L135" s="4">
        <v>215.75166666666669</v>
      </c>
      <c r="M135" s="4">
        <v>0.105</v>
      </c>
      <c r="N135" s="4">
        <v>2.3333333333333335</v>
      </c>
      <c r="O135" s="5">
        <v>29.65666666666667</v>
      </c>
      <c r="P135" s="162" t="s">
        <v>66</v>
      </c>
      <c r="Q135" s="9"/>
      <c r="R135" s="9"/>
    </row>
    <row r="136" spans="1:18" ht="15" customHeight="1">
      <c r="A136" s="39" t="s">
        <v>50</v>
      </c>
      <c r="B136" s="14">
        <v>2017</v>
      </c>
      <c r="C136" s="38">
        <v>382</v>
      </c>
      <c r="D136" s="14">
        <v>200</v>
      </c>
      <c r="E136" s="4">
        <v>3.52</v>
      </c>
      <c r="F136" s="4">
        <v>3.72</v>
      </c>
      <c r="G136" s="4">
        <v>25.49</v>
      </c>
      <c r="H136" s="4">
        <v>145.19999999999999</v>
      </c>
      <c r="I136" s="4">
        <v>122</v>
      </c>
      <c r="J136" s="4">
        <v>14</v>
      </c>
      <c r="K136" s="4">
        <v>0.56000000000000005</v>
      </c>
      <c r="L136" s="4">
        <v>39</v>
      </c>
      <c r="M136" s="4">
        <v>0.04</v>
      </c>
      <c r="N136" s="4">
        <v>1.3</v>
      </c>
      <c r="O136" s="5">
        <v>1.1399999999999999E-2</v>
      </c>
      <c r="P136" s="162"/>
      <c r="Q136" s="9"/>
      <c r="R136" s="9"/>
    </row>
    <row r="137" spans="1:18" ht="15" customHeight="1">
      <c r="A137" s="111" t="s">
        <v>79</v>
      </c>
      <c r="B137" s="11">
        <v>3</v>
      </c>
      <c r="C137" s="11">
        <v>2017</v>
      </c>
      <c r="D137" s="14">
        <v>40</v>
      </c>
      <c r="E137" s="4">
        <v>4.9000000000000004</v>
      </c>
      <c r="F137" s="4">
        <v>11.55</v>
      </c>
      <c r="G137" s="4">
        <v>17.100000000000001</v>
      </c>
      <c r="H137" s="4">
        <v>193</v>
      </c>
      <c r="I137" s="4">
        <v>106</v>
      </c>
      <c r="J137" s="4">
        <v>4.8</v>
      </c>
      <c r="K137" s="4">
        <v>0.12</v>
      </c>
      <c r="L137" s="4">
        <v>0.09</v>
      </c>
      <c r="M137" s="4">
        <v>0.06</v>
      </c>
      <c r="N137" s="4">
        <v>0.11</v>
      </c>
      <c r="O137" s="5">
        <v>39</v>
      </c>
      <c r="P137" s="162"/>
      <c r="Q137" s="9"/>
      <c r="R137" s="9"/>
    </row>
    <row r="138" spans="1:18" ht="15" customHeight="1">
      <c r="A138" s="111" t="s">
        <v>63</v>
      </c>
      <c r="B138" s="11">
        <v>2017</v>
      </c>
      <c r="C138" s="11">
        <v>338</v>
      </c>
      <c r="D138" s="14">
        <v>100</v>
      </c>
      <c r="E138" s="4">
        <v>0.9</v>
      </c>
      <c r="F138" s="4">
        <v>0.2</v>
      </c>
      <c r="G138" s="4">
        <v>8.1</v>
      </c>
      <c r="H138" s="4">
        <v>37.799999999999997</v>
      </c>
      <c r="I138" s="4">
        <v>34</v>
      </c>
      <c r="J138" s="4">
        <v>13</v>
      </c>
      <c r="K138" s="4">
        <v>0.3</v>
      </c>
      <c r="L138" s="4">
        <v>18.329999999999998</v>
      </c>
      <c r="M138" s="4">
        <v>0.04</v>
      </c>
      <c r="N138" s="4">
        <v>26</v>
      </c>
      <c r="O138" s="5">
        <v>0</v>
      </c>
      <c r="P138" s="162"/>
      <c r="Q138" s="9"/>
      <c r="R138" s="9"/>
    </row>
    <row r="139" spans="1:18" ht="15" customHeight="1">
      <c r="A139" s="108" t="s">
        <v>16</v>
      </c>
      <c r="B139" s="99"/>
      <c r="C139" s="99"/>
      <c r="D139" s="12">
        <v>550</v>
      </c>
      <c r="E139" s="13">
        <f>SUM(E135:E138)</f>
        <v>19.924999999999997</v>
      </c>
      <c r="F139" s="13">
        <f>SUM(F135:F138)</f>
        <v>20.463333333333335</v>
      </c>
      <c r="G139" s="13">
        <f>SUM(G135:G138)</f>
        <v>88.338333333333338</v>
      </c>
      <c r="H139" s="13">
        <f>SUM(H135:H138)</f>
        <v>604.54</v>
      </c>
      <c r="I139" s="13">
        <f t="shared" ref="I139:O139" si="21">SUM(I135:I138)</f>
        <v>444.44333333333327</v>
      </c>
      <c r="J139" s="13">
        <f t="shared" si="21"/>
        <v>63.603333333333332</v>
      </c>
      <c r="K139" s="13">
        <f t="shared" si="21"/>
        <v>2.415</v>
      </c>
      <c r="L139" s="13">
        <f t="shared" si="21"/>
        <v>273.17166666666668</v>
      </c>
      <c r="M139" s="13">
        <f t="shared" si="21"/>
        <v>0.245</v>
      </c>
      <c r="N139" s="13">
        <f t="shared" si="21"/>
        <v>29.743333333333332</v>
      </c>
      <c r="O139" s="15">
        <f t="shared" si="21"/>
        <v>68.668066666666675</v>
      </c>
      <c r="P139" s="162"/>
      <c r="Q139" s="9"/>
      <c r="R139" s="9"/>
    </row>
    <row r="140" spans="1:18" ht="15" customHeight="1">
      <c r="A140" s="169" t="s">
        <v>91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2"/>
      <c r="Q140" s="9"/>
      <c r="R140" s="9"/>
    </row>
    <row r="141" spans="1:18" ht="15" customHeight="1">
      <c r="A141" s="16" t="s">
        <v>65</v>
      </c>
      <c r="B141" s="40">
        <v>2017</v>
      </c>
      <c r="C141" s="40">
        <v>63</v>
      </c>
      <c r="D141" s="21">
        <v>260</v>
      </c>
      <c r="E141" s="6">
        <v>4.9800000000000004</v>
      </c>
      <c r="F141" s="6">
        <v>1.89</v>
      </c>
      <c r="G141" s="6">
        <v>9.81</v>
      </c>
      <c r="H141" s="6">
        <v>101.66</v>
      </c>
      <c r="I141" s="6">
        <f>71.61*260/210</f>
        <v>88.66</v>
      </c>
      <c r="J141" s="6">
        <f>18.13*260/210</f>
        <v>22.446666666666669</v>
      </c>
      <c r="K141" s="6">
        <f>1.12*260/210</f>
        <v>1.3866666666666669</v>
      </c>
      <c r="L141" s="6">
        <f>22.71*260/210</f>
        <v>28.117142857142859</v>
      </c>
      <c r="M141" s="8">
        <f>0.07*260/210</f>
        <v>8.6666666666666684E-2</v>
      </c>
      <c r="N141" s="8">
        <f>1.57*260/210</f>
        <v>1.9438095238095237</v>
      </c>
      <c r="O141" s="7">
        <f>25.42*260/210</f>
        <v>31.472380952380956</v>
      </c>
      <c r="P141" s="162"/>
      <c r="Q141" s="9"/>
      <c r="R141" s="9"/>
    </row>
    <row r="142" spans="1:18" ht="15" customHeight="1">
      <c r="A142" s="111" t="s">
        <v>38</v>
      </c>
      <c r="B142" s="11">
        <v>2017</v>
      </c>
      <c r="C142" s="11" t="s">
        <v>92</v>
      </c>
      <c r="D142" s="22">
        <v>100</v>
      </c>
      <c r="E142" s="23">
        <f>9.33*100/90</f>
        <v>10.366666666666667</v>
      </c>
      <c r="F142" s="23">
        <f>14.59*100/90</f>
        <v>16.211111111111112</v>
      </c>
      <c r="G142" s="23">
        <f>9.87*100/90</f>
        <v>10.966666666666665</v>
      </c>
      <c r="H142" s="23">
        <v>228.5</v>
      </c>
      <c r="I142" s="23">
        <v>54.444444444444443</v>
      </c>
      <c r="J142" s="23">
        <v>13.777777777777779</v>
      </c>
      <c r="K142" s="23">
        <v>1.2555555555555553</v>
      </c>
      <c r="L142" s="23">
        <v>232.55555555555554</v>
      </c>
      <c r="M142" s="23">
        <v>0.1111111111111111</v>
      </c>
      <c r="N142" s="23">
        <v>0.44444444444444442</v>
      </c>
      <c r="O142" s="24">
        <v>235.96666666666667</v>
      </c>
      <c r="P142" s="162"/>
      <c r="Q142" s="9"/>
      <c r="R142" s="9"/>
    </row>
    <row r="143" spans="1:18" ht="15" customHeight="1">
      <c r="A143" s="111" t="s">
        <v>39</v>
      </c>
      <c r="B143" s="11">
        <v>2017</v>
      </c>
      <c r="C143" s="11">
        <v>202</v>
      </c>
      <c r="D143" s="22">
        <v>200</v>
      </c>
      <c r="E143" s="18">
        <v>7.36</v>
      </c>
      <c r="F143" s="18">
        <v>6.0266666666666655</v>
      </c>
      <c r="G143" s="18">
        <v>35.266666666666666</v>
      </c>
      <c r="H143" s="18">
        <v>224.6</v>
      </c>
      <c r="I143" s="18">
        <v>6.48</v>
      </c>
      <c r="J143" s="18">
        <v>28.16</v>
      </c>
      <c r="K143" s="18">
        <v>1.4800000000000002</v>
      </c>
      <c r="L143" s="18">
        <v>49.56</v>
      </c>
      <c r="M143" s="18">
        <v>0.08</v>
      </c>
      <c r="N143" s="18">
        <v>0</v>
      </c>
      <c r="O143" s="19">
        <v>96.33</v>
      </c>
      <c r="P143" s="162"/>
      <c r="Q143" s="9"/>
      <c r="R143" s="9"/>
    </row>
    <row r="144" spans="1:18" ht="15" customHeight="1">
      <c r="A144" s="111" t="s">
        <v>60</v>
      </c>
      <c r="B144" s="11">
        <v>2017</v>
      </c>
      <c r="C144" s="11">
        <v>49</v>
      </c>
      <c r="D144" s="11">
        <v>100</v>
      </c>
      <c r="E144" s="4">
        <v>2.5979999999999999</v>
      </c>
      <c r="F144" s="4">
        <v>6.2200000000000006</v>
      </c>
      <c r="G144" s="4">
        <v>22.149000000000001</v>
      </c>
      <c r="H144" s="4">
        <v>154.9</v>
      </c>
      <c r="I144" s="27">
        <v>7.4809999999999999</v>
      </c>
      <c r="J144" s="27">
        <v>4.2789999999999999</v>
      </c>
      <c r="K144" s="27">
        <v>0.34799999999999998</v>
      </c>
      <c r="L144" s="27">
        <v>21.45</v>
      </c>
      <c r="M144" s="27">
        <v>0.27</v>
      </c>
      <c r="N144" s="27">
        <v>6.1166666666666663</v>
      </c>
      <c r="O144" s="97">
        <v>35.616666666666667</v>
      </c>
      <c r="P144" s="162"/>
      <c r="Q144" s="9"/>
      <c r="R144" s="9"/>
    </row>
    <row r="145" spans="1:18" ht="15" customHeight="1">
      <c r="A145" s="111" t="s">
        <v>14</v>
      </c>
      <c r="B145" s="11">
        <v>2017</v>
      </c>
      <c r="C145" s="11">
        <v>376</v>
      </c>
      <c r="D145" s="14">
        <v>200</v>
      </c>
      <c r="E145" s="4">
        <v>0.2</v>
      </c>
      <c r="F145" s="4">
        <v>0</v>
      </c>
      <c r="G145" s="4">
        <v>14</v>
      </c>
      <c r="H145" s="4">
        <v>28</v>
      </c>
      <c r="I145" s="4">
        <v>6</v>
      </c>
      <c r="J145" s="4">
        <v>0</v>
      </c>
      <c r="K145" s="4">
        <v>0.4</v>
      </c>
      <c r="L145" s="4">
        <v>0</v>
      </c>
      <c r="M145" s="4">
        <v>0</v>
      </c>
      <c r="N145" s="4">
        <v>0</v>
      </c>
      <c r="O145" s="4">
        <v>0</v>
      </c>
      <c r="P145" s="162"/>
      <c r="Q145" s="9"/>
      <c r="R145" s="9"/>
    </row>
    <row r="146" spans="1:18" ht="15" customHeight="1">
      <c r="A146" s="16" t="s">
        <v>21</v>
      </c>
      <c r="B146" s="10" t="s">
        <v>80</v>
      </c>
      <c r="C146" s="10" t="s">
        <v>80</v>
      </c>
      <c r="D146" s="32">
        <v>20</v>
      </c>
      <c r="E146" s="4">
        <v>1.58</v>
      </c>
      <c r="F146" s="4">
        <v>0.2</v>
      </c>
      <c r="G146" s="4">
        <v>9.66</v>
      </c>
      <c r="H146" s="4">
        <v>46.76</v>
      </c>
      <c r="I146" s="4">
        <v>4.5999999999999996</v>
      </c>
      <c r="J146" s="4">
        <v>6.6</v>
      </c>
      <c r="K146" s="4">
        <v>0.22</v>
      </c>
      <c r="L146" s="4">
        <v>17.399999999999999</v>
      </c>
      <c r="M146" s="4">
        <v>0.08</v>
      </c>
      <c r="N146" s="4">
        <v>0</v>
      </c>
      <c r="O146" s="5">
        <v>0</v>
      </c>
      <c r="P146" s="162"/>
      <c r="Q146" s="9"/>
      <c r="R146" s="9"/>
    </row>
    <row r="147" spans="1:18" ht="15" customHeight="1">
      <c r="A147" s="16" t="s">
        <v>22</v>
      </c>
      <c r="B147" s="10" t="s">
        <v>80</v>
      </c>
      <c r="C147" s="10" t="s">
        <v>80</v>
      </c>
      <c r="D147" s="10">
        <v>40</v>
      </c>
      <c r="E147" s="4">
        <v>2.2400000000000002</v>
      </c>
      <c r="F147" s="4">
        <v>0.44</v>
      </c>
      <c r="G147" s="4">
        <v>19.760000000000002</v>
      </c>
      <c r="H147" s="4">
        <v>91.96</v>
      </c>
      <c r="I147" s="4">
        <v>9.1999999999999993</v>
      </c>
      <c r="J147" s="4">
        <v>10</v>
      </c>
      <c r="K147" s="4">
        <v>1.24</v>
      </c>
      <c r="L147" s="4">
        <v>42.4</v>
      </c>
      <c r="M147" s="4">
        <v>0.04</v>
      </c>
      <c r="N147" s="4">
        <v>0</v>
      </c>
      <c r="O147" s="5">
        <v>0</v>
      </c>
      <c r="P147" s="162"/>
      <c r="Q147" s="9"/>
      <c r="R147" s="9"/>
    </row>
    <row r="148" spans="1:18" ht="15" customHeight="1">
      <c r="A148" s="108" t="s">
        <v>16</v>
      </c>
      <c r="B148" s="99"/>
      <c r="C148" s="99"/>
      <c r="D148" s="12">
        <f t="shared" ref="D148:O148" si="22">SUM(D141:D147)</f>
        <v>920</v>
      </c>
      <c r="E148" s="13">
        <f>SUM(E141:E147)</f>
        <v>29.324666666666666</v>
      </c>
      <c r="F148" s="13">
        <f>SUM(F141:F147)</f>
        <v>30.987777777777779</v>
      </c>
      <c r="G148" s="13">
        <f>SUM(G141:G147)</f>
        <v>121.61233333333332</v>
      </c>
      <c r="H148" s="13">
        <f>SUM(H141:H147)</f>
        <v>876.38</v>
      </c>
      <c r="I148" s="13">
        <f t="shared" si="22"/>
        <v>176.86544444444439</v>
      </c>
      <c r="J148" s="13">
        <f t="shared" si="22"/>
        <v>85.263444444444431</v>
      </c>
      <c r="K148" s="13">
        <f t="shared" si="22"/>
        <v>6.3302222222222229</v>
      </c>
      <c r="L148" s="13">
        <f t="shared" si="22"/>
        <v>391.48269841269837</v>
      </c>
      <c r="M148" s="13">
        <f t="shared" si="22"/>
        <v>0.6677777777777778</v>
      </c>
      <c r="N148" s="13">
        <f t="shared" si="22"/>
        <v>8.5049206349206337</v>
      </c>
      <c r="O148" s="15">
        <f t="shared" si="22"/>
        <v>399.3857142857143</v>
      </c>
      <c r="P148" s="162"/>
      <c r="Q148" s="9"/>
      <c r="R148" s="9"/>
    </row>
    <row r="149" spans="1:18" s="75" customFormat="1" ht="15" customHeight="1">
      <c r="A149" s="115" t="s">
        <v>24</v>
      </c>
      <c r="B149" s="116"/>
      <c r="C149" s="116"/>
      <c r="D149" s="117">
        <v>1470</v>
      </c>
      <c r="E149" s="118">
        <f>E148+E139</f>
        <v>49.249666666666663</v>
      </c>
      <c r="F149" s="118">
        <f>F148+F139</f>
        <v>51.451111111111118</v>
      </c>
      <c r="G149" s="118">
        <f>G148+G139</f>
        <v>209.95066666666668</v>
      </c>
      <c r="H149" s="118">
        <f>H148+H139</f>
        <v>1480.92</v>
      </c>
      <c r="I149" s="118">
        <f t="shared" ref="I149:O149" si="23">I148+I139</f>
        <v>621.30877777777766</v>
      </c>
      <c r="J149" s="118">
        <f t="shared" si="23"/>
        <v>148.86677777777777</v>
      </c>
      <c r="K149" s="118">
        <f t="shared" si="23"/>
        <v>8.7452222222222229</v>
      </c>
      <c r="L149" s="118">
        <f t="shared" si="23"/>
        <v>664.65436507936511</v>
      </c>
      <c r="M149" s="118">
        <f t="shared" si="23"/>
        <v>0.9127777777777778</v>
      </c>
      <c r="N149" s="118">
        <f t="shared" si="23"/>
        <v>38.248253968253962</v>
      </c>
      <c r="O149" s="123">
        <f t="shared" si="23"/>
        <v>468.05378095238098</v>
      </c>
      <c r="P149" s="162"/>
      <c r="Q149" s="73"/>
      <c r="R149" s="73"/>
    </row>
    <row r="150" spans="1:18" s="75" customFormat="1" ht="13.15" customHeight="1">
      <c r="A150" s="172" t="s">
        <v>71</v>
      </c>
      <c r="B150" s="176"/>
      <c r="C150" s="176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73"/>
      <c r="Q150" s="73"/>
      <c r="R150" s="73"/>
    </row>
    <row r="151" spans="1:18" s="75" customFormat="1" ht="13.15" customHeight="1">
      <c r="A151" s="177" t="s">
        <v>90</v>
      </c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82"/>
      <c r="P151" s="162" t="s">
        <v>71</v>
      </c>
      <c r="Q151" s="73"/>
      <c r="R151" s="73"/>
    </row>
    <row r="152" spans="1:18" ht="13.15" customHeight="1">
      <c r="A152" s="16" t="s">
        <v>67</v>
      </c>
      <c r="B152" s="29">
        <v>2017</v>
      </c>
      <c r="C152" s="29">
        <v>174</v>
      </c>
      <c r="D152" s="14">
        <v>260</v>
      </c>
      <c r="E152" s="4">
        <f>10.46*250/200</f>
        <v>13.074999999999999</v>
      </c>
      <c r="F152" s="4">
        <f>15.3*250/200</f>
        <v>19.125</v>
      </c>
      <c r="G152" s="4">
        <f>23.02*250/200</f>
        <v>28.774999999999999</v>
      </c>
      <c r="H152" s="4">
        <v>332.3</v>
      </c>
      <c r="I152" s="4">
        <v>241.42857142857142</v>
      </c>
      <c r="J152" s="4">
        <v>53.312380952380956</v>
      </c>
      <c r="K152" s="4">
        <v>0.58190476190476181</v>
      </c>
      <c r="L152" s="4">
        <v>82.952380952380949</v>
      </c>
      <c r="M152" s="4">
        <v>3.7142857142857144E-2</v>
      </c>
      <c r="N152" s="4">
        <v>0</v>
      </c>
      <c r="O152" s="4">
        <v>28.228571428571428</v>
      </c>
      <c r="P152" s="162"/>
      <c r="Q152" s="9"/>
      <c r="R152" s="9"/>
    </row>
    <row r="153" spans="1:18" ht="13.15" customHeight="1">
      <c r="A153" s="39" t="s">
        <v>26</v>
      </c>
      <c r="B153" s="34">
        <v>2017</v>
      </c>
      <c r="C153" s="34">
        <v>377</v>
      </c>
      <c r="D153" s="14">
        <v>200</v>
      </c>
      <c r="E153" s="4">
        <v>0.13</v>
      </c>
      <c r="F153" s="4">
        <v>0.02</v>
      </c>
      <c r="G153" s="4">
        <v>10.25</v>
      </c>
      <c r="H153" s="4">
        <v>41.68</v>
      </c>
      <c r="I153" s="4">
        <v>14.05</v>
      </c>
      <c r="J153" s="4">
        <v>2.4</v>
      </c>
      <c r="K153" s="4">
        <v>0.38</v>
      </c>
      <c r="L153" s="4">
        <v>4.4000000000000004</v>
      </c>
      <c r="M153" s="4">
        <v>0</v>
      </c>
      <c r="N153" s="4">
        <v>2.83</v>
      </c>
      <c r="O153" s="5">
        <v>0</v>
      </c>
      <c r="P153" s="162"/>
      <c r="Q153" s="9"/>
      <c r="R153" s="9"/>
    </row>
    <row r="154" spans="1:18" ht="13.15" customHeight="1">
      <c r="A154" s="31" t="s">
        <v>29</v>
      </c>
      <c r="B154" s="32" t="s">
        <v>80</v>
      </c>
      <c r="C154" s="32" t="s">
        <v>80</v>
      </c>
      <c r="D154" s="32">
        <v>30</v>
      </c>
      <c r="E154" s="11">
        <v>0.15</v>
      </c>
      <c r="F154" s="11">
        <v>0</v>
      </c>
      <c r="G154" s="11">
        <v>21.48</v>
      </c>
      <c r="H154" s="11">
        <v>86.52000000000001</v>
      </c>
      <c r="I154" s="11">
        <v>3.6</v>
      </c>
      <c r="J154" s="11">
        <v>2.7</v>
      </c>
      <c r="K154" s="11">
        <v>0.12</v>
      </c>
      <c r="L154" s="11">
        <v>5.4</v>
      </c>
      <c r="M154" s="11">
        <v>0</v>
      </c>
      <c r="N154" s="11">
        <v>0.72</v>
      </c>
      <c r="O154" s="17">
        <v>0</v>
      </c>
      <c r="P154" s="162"/>
      <c r="Q154" s="9"/>
      <c r="R154" s="9"/>
    </row>
    <row r="155" spans="1:18" ht="13.15" customHeight="1">
      <c r="A155" s="111" t="s">
        <v>13</v>
      </c>
      <c r="B155" s="11" t="s">
        <v>80</v>
      </c>
      <c r="C155" s="11" t="s">
        <v>80</v>
      </c>
      <c r="D155" s="14">
        <v>60</v>
      </c>
      <c r="E155" s="4">
        <v>4.74</v>
      </c>
      <c r="F155" s="4">
        <v>0.6</v>
      </c>
      <c r="G155" s="4">
        <v>28.98</v>
      </c>
      <c r="H155" s="4">
        <v>140.28</v>
      </c>
      <c r="I155" s="4">
        <v>13.8</v>
      </c>
      <c r="J155" s="4">
        <v>19.8</v>
      </c>
      <c r="K155" s="4">
        <v>0.66</v>
      </c>
      <c r="L155" s="4">
        <v>52.2</v>
      </c>
      <c r="M155" s="4">
        <v>0.1</v>
      </c>
      <c r="N155" s="4">
        <v>0</v>
      </c>
      <c r="O155" s="5">
        <v>0</v>
      </c>
      <c r="P155" s="162"/>
      <c r="Q155" s="9"/>
      <c r="R155" s="9"/>
    </row>
    <row r="156" spans="1:18" ht="14.45" customHeight="1">
      <c r="A156" s="108" t="s">
        <v>16</v>
      </c>
      <c r="B156" s="99"/>
      <c r="C156" s="99"/>
      <c r="D156" s="12">
        <f>SUM(D152:D155)</f>
        <v>550</v>
      </c>
      <c r="E156" s="13">
        <f t="shared" ref="E156:L156" si="24">SUM(E152:E155)</f>
        <v>18.094999999999999</v>
      </c>
      <c r="F156" s="13">
        <f t="shared" si="24"/>
        <v>19.745000000000001</v>
      </c>
      <c r="G156" s="13">
        <f t="shared" si="24"/>
        <v>89.484999999999999</v>
      </c>
      <c r="H156" s="13">
        <f t="shared" si="24"/>
        <v>600.78</v>
      </c>
      <c r="I156" s="13">
        <f t="shared" si="24"/>
        <v>272.87857142857143</v>
      </c>
      <c r="J156" s="13">
        <f t="shared" si="24"/>
        <v>78.212380952380954</v>
      </c>
      <c r="K156" s="13">
        <f t="shared" si="24"/>
        <v>1.7419047619047618</v>
      </c>
      <c r="L156" s="13">
        <f t="shared" si="24"/>
        <v>144.95238095238096</v>
      </c>
      <c r="M156" s="13">
        <v>0.13714285714285715</v>
      </c>
      <c r="N156" s="13">
        <f>SUM(N152:N155)</f>
        <v>3.55</v>
      </c>
      <c r="O156" s="13">
        <v>28.228571428571428</v>
      </c>
      <c r="P156" s="162"/>
      <c r="Q156" s="9"/>
      <c r="R156" s="9"/>
    </row>
    <row r="157" spans="1:18" ht="13.15" customHeight="1">
      <c r="A157" s="179" t="s">
        <v>91</v>
      </c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80"/>
      <c r="P157" s="162"/>
      <c r="Q157" s="9"/>
      <c r="R157" s="9"/>
    </row>
    <row r="158" spans="1:18" ht="13.15" customHeight="1">
      <c r="A158" s="36" t="s">
        <v>68</v>
      </c>
      <c r="B158" s="29">
        <v>2017</v>
      </c>
      <c r="C158" s="29">
        <v>97</v>
      </c>
      <c r="D158" s="103">
        <v>250</v>
      </c>
      <c r="E158" s="26">
        <v>2.3374999999999999</v>
      </c>
      <c r="F158" s="26">
        <v>2.8250000000000002</v>
      </c>
      <c r="G158" s="26">
        <v>16.637499999999999</v>
      </c>
      <c r="H158" s="26">
        <v>101.25</v>
      </c>
      <c r="I158" s="26">
        <v>25.85</v>
      </c>
      <c r="J158" s="26">
        <v>31.125</v>
      </c>
      <c r="K158" s="104">
        <v>1.175</v>
      </c>
      <c r="L158" s="11">
        <v>76.8</v>
      </c>
      <c r="M158" s="26">
        <v>0.11</v>
      </c>
      <c r="N158" s="26">
        <v>2</v>
      </c>
      <c r="O158" s="26">
        <v>0</v>
      </c>
      <c r="P158" s="162"/>
      <c r="Q158" s="9"/>
      <c r="R158" s="9"/>
    </row>
    <row r="159" spans="1:18" ht="13.15" customHeight="1">
      <c r="A159" s="36" t="s">
        <v>69</v>
      </c>
      <c r="B159" s="29">
        <v>2017</v>
      </c>
      <c r="C159" s="30">
        <v>226</v>
      </c>
      <c r="D159" s="105">
        <v>20</v>
      </c>
      <c r="E159" s="8">
        <v>3.5079999999999996</v>
      </c>
      <c r="F159" s="8">
        <v>0.47599999999999992</v>
      </c>
      <c r="G159" s="8">
        <v>6.2E-2</v>
      </c>
      <c r="H159" s="8">
        <v>18.5</v>
      </c>
      <c r="I159" s="8">
        <v>3.3759999999999994</v>
      </c>
      <c r="J159" s="8">
        <v>2.6</v>
      </c>
      <c r="K159" s="11">
        <v>0.14000000000000001</v>
      </c>
      <c r="L159" s="8">
        <v>34.4</v>
      </c>
      <c r="M159" s="8">
        <v>1.7999999999999999E-2</v>
      </c>
      <c r="N159" s="8">
        <v>7.0000000000000007E-2</v>
      </c>
      <c r="O159" s="8">
        <v>1.71</v>
      </c>
      <c r="P159" s="162"/>
      <c r="Q159" s="9"/>
      <c r="R159" s="9"/>
    </row>
    <row r="160" spans="1:18" ht="13.15" customHeight="1">
      <c r="A160" s="36" t="s">
        <v>73</v>
      </c>
      <c r="B160" s="29">
        <v>2017</v>
      </c>
      <c r="C160" s="29">
        <v>290</v>
      </c>
      <c r="D160" s="37">
        <v>100</v>
      </c>
      <c r="E160" s="4">
        <v>11.84</v>
      </c>
      <c r="F160" s="4">
        <f>12.12*100/90</f>
        <v>13.466666666666667</v>
      </c>
      <c r="G160" s="4">
        <f>5.369*100/90</f>
        <v>5.9655555555555555</v>
      </c>
      <c r="H160" s="4">
        <v>189.5</v>
      </c>
      <c r="I160" s="4">
        <v>43.222222222222221</v>
      </c>
      <c r="J160" s="4">
        <v>14.888888888888889</v>
      </c>
      <c r="K160" s="4">
        <v>1.0111111111111111</v>
      </c>
      <c r="L160" s="4">
        <v>15.111111111111111</v>
      </c>
      <c r="M160" s="4">
        <v>5.5555555555555552E-2</v>
      </c>
      <c r="N160" s="4">
        <v>1.6</v>
      </c>
      <c r="O160" s="5">
        <v>244.33333333333334</v>
      </c>
      <c r="P160" s="162"/>
      <c r="Q160" s="9"/>
      <c r="R160" s="9"/>
    </row>
    <row r="161" spans="1:18" ht="13.15" customHeight="1">
      <c r="A161" s="36" t="s">
        <v>46</v>
      </c>
      <c r="B161" s="11">
        <v>2017</v>
      </c>
      <c r="C161" s="11">
        <v>312</v>
      </c>
      <c r="D161" s="103">
        <v>200</v>
      </c>
      <c r="E161" s="4">
        <v>4.08</v>
      </c>
      <c r="F161" s="4">
        <v>6.4</v>
      </c>
      <c r="G161" s="4">
        <v>27.266666666666666</v>
      </c>
      <c r="H161" s="4">
        <v>183</v>
      </c>
      <c r="I161" s="4">
        <v>49.306666666666658</v>
      </c>
      <c r="J161" s="4">
        <v>37</v>
      </c>
      <c r="K161" s="4">
        <v>1.3466666666666667</v>
      </c>
      <c r="L161" s="4">
        <v>75.466666666666669</v>
      </c>
      <c r="M161" s="4">
        <v>0.14000000000000001</v>
      </c>
      <c r="N161" s="4">
        <v>12.493333333333332</v>
      </c>
      <c r="O161" s="5">
        <v>34</v>
      </c>
      <c r="P161" s="162"/>
      <c r="Q161" s="9"/>
      <c r="R161" s="9"/>
    </row>
    <row r="162" spans="1:18" ht="13.15" customHeight="1">
      <c r="A162" s="36" t="s">
        <v>53</v>
      </c>
      <c r="B162" s="11">
        <v>2017</v>
      </c>
      <c r="C162" s="11">
        <v>52</v>
      </c>
      <c r="D162" s="103">
        <v>100</v>
      </c>
      <c r="E162" s="4">
        <v>1.4333333333333333</v>
      </c>
      <c r="F162" s="4">
        <v>6.083333333333333</v>
      </c>
      <c r="G162" s="4">
        <v>8.3666666666666654</v>
      </c>
      <c r="H162" s="4">
        <v>93.9</v>
      </c>
      <c r="I162" s="4">
        <v>35.15</v>
      </c>
      <c r="J162" s="4">
        <v>20.9</v>
      </c>
      <c r="K162" s="4">
        <v>1.3333333333333333</v>
      </c>
      <c r="L162" s="100">
        <v>40.966666666666669</v>
      </c>
      <c r="M162" s="4">
        <v>1.6666666666666666E-2</v>
      </c>
      <c r="N162" s="4">
        <v>3.42</v>
      </c>
      <c r="O162" s="17">
        <v>0</v>
      </c>
      <c r="P162" s="162"/>
      <c r="Q162" s="9"/>
      <c r="R162" s="9"/>
    </row>
    <row r="163" spans="1:18" ht="13.15" customHeight="1">
      <c r="A163" s="36" t="s">
        <v>70</v>
      </c>
      <c r="B163" s="30">
        <v>2008</v>
      </c>
      <c r="C163" s="30">
        <v>436</v>
      </c>
      <c r="D163" s="103">
        <v>200</v>
      </c>
      <c r="E163" s="11">
        <v>0.18</v>
      </c>
      <c r="F163" s="11">
        <v>0.02</v>
      </c>
      <c r="G163" s="11">
        <v>27.46</v>
      </c>
      <c r="H163" s="11">
        <v>94.58</v>
      </c>
      <c r="I163" s="11">
        <v>16.3</v>
      </c>
      <c r="J163" s="11">
        <v>4.0999999999999996</v>
      </c>
      <c r="K163" s="11">
        <v>0.18</v>
      </c>
      <c r="L163" s="11">
        <v>4.4000000000000004</v>
      </c>
      <c r="M163" s="11">
        <v>0.03</v>
      </c>
      <c r="N163" s="11">
        <v>25.5</v>
      </c>
      <c r="O163" s="11">
        <v>0.1</v>
      </c>
      <c r="P163" s="162"/>
      <c r="Q163" s="9"/>
      <c r="R163" s="9"/>
    </row>
    <row r="164" spans="1:18" ht="13.15" customHeight="1">
      <c r="A164" s="98" t="s">
        <v>21</v>
      </c>
      <c r="B164" s="32" t="s">
        <v>80</v>
      </c>
      <c r="C164" s="32" t="s">
        <v>80</v>
      </c>
      <c r="D164" s="94">
        <v>20</v>
      </c>
      <c r="E164" s="4">
        <v>1.58</v>
      </c>
      <c r="F164" s="4">
        <v>0.2</v>
      </c>
      <c r="G164" s="4">
        <v>9.66</v>
      </c>
      <c r="H164" s="4">
        <v>46.76</v>
      </c>
      <c r="I164" s="4">
        <v>4.5999999999999996</v>
      </c>
      <c r="J164" s="4">
        <v>6.6</v>
      </c>
      <c r="K164" s="4">
        <v>0.22</v>
      </c>
      <c r="L164" s="4">
        <v>17.399999999999999</v>
      </c>
      <c r="M164" s="4">
        <v>0.08</v>
      </c>
      <c r="N164" s="4">
        <v>0</v>
      </c>
      <c r="O164" s="5">
        <v>0</v>
      </c>
      <c r="P164" s="162"/>
      <c r="Q164" s="9"/>
      <c r="R164" s="9"/>
    </row>
    <row r="165" spans="1:18" ht="13.15" customHeight="1">
      <c r="A165" s="98" t="s">
        <v>22</v>
      </c>
      <c r="B165" s="11" t="s">
        <v>80</v>
      </c>
      <c r="C165" s="11" t="s">
        <v>80</v>
      </c>
      <c r="D165" s="95">
        <v>40</v>
      </c>
      <c r="E165" s="4">
        <v>2.2400000000000002</v>
      </c>
      <c r="F165" s="4">
        <v>0.44</v>
      </c>
      <c r="G165" s="4">
        <v>19.760000000000002</v>
      </c>
      <c r="H165" s="4">
        <v>91.96</v>
      </c>
      <c r="I165" s="4">
        <v>9.1999999999999993</v>
      </c>
      <c r="J165" s="4">
        <v>10</v>
      </c>
      <c r="K165" s="4">
        <v>1.24</v>
      </c>
      <c r="L165" s="4">
        <v>42.4</v>
      </c>
      <c r="M165" s="4">
        <v>0.04</v>
      </c>
      <c r="N165" s="4">
        <v>0</v>
      </c>
      <c r="O165" s="5">
        <v>0</v>
      </c>
      <c r="P165" s="162"/>
      <c r="Q165" s="9"/>
      <c r="R165" s="9"/>
    </row>
    <row r="166" spans="1:18" ht="12" customHeight="1">
      <c r="A166" s="108" t="s">
        <v>16</v>
      </c>
      <c r="B166" s="99"/>
      <c r="C166" s="99"/>
      <c r="D166" s="12">
        <v>930</v>
      </c>
      <c r="E166" s="13">
        <f>SUM(E158:E165)</f>
        <v>27.198833333333333</v>
      </c>
      <c r="F166" s="13">
        <f>SUM(F158:F165)</f>
        <v>29.911000000000001</v>
      </c>
      <c r="G166" s="13">
        <f>SUM(G158:G165)</f>
        <v>115.17838888888889</v>
      </c>
      <c r="H166" s="13">
        <f>SUM(H158:H165)</f>
        <v>819.45</v>
      </c>
      <c r="I166" s="13">
        <v>187.00488888888887</v>
      </c>
      <c r="J166" s="13">
        <v>127.21388888888887</v>
      </c>
      <c r="K166" s="13">
        <v>6.6461111111111109</v>
      </c>
      <c r="L166" s="13">
        <v>306.9444444444444</v>
      </c>
      <c r="M166" s="13">
        <f>SUM(M158:M165)</f>
        <v>0.49022222222222223</v>
      </c>
      <c r="N166" s="13">
        <f>SUM(N158:N165)</f>
        <v>45.083333333333336</v>
      </c>
      <c r="O166" s="13">
        <f>SUM(O158:O165)</f>
        <v>280.14333333333337</v>
      </c>
      <c r="P166" s="162"/>
      <c r="Q166" s="9"/>
      <c r="R166" s="9"/>
    </row>
    <row r="167" spans="1:18" s="75" customFormat="1" ht="12" customHeight="1">
      <c r="A167" s="115" t="s">
        <v>24</v>
      </c>
      <c r="B167" s="116"/>
      <c r="C167" s="116"/>
      <c r="D167" s="117">
        <v>1480</v>
      </c>
      <c r="E167" s="118">
        <f>27.2+E156</f>
        <v>45.295000000000002</v>
      </c>
      <c r="F167" s="118">
        <f>29.91+F156</f>
        <v>49.655000000000001</v>
      </c>
      <c r="G167" s="118">
        <f>115.18+G156</f>
        <v>204.66500000000002</v>
      </c>
      <c r="H167" s="118">
        <f>819.45+H156</f>
        <v>1420.23</v>
      </c>
      <c r="I167" s="118">
        <f>187+I156</f>
        <v>459.87857142857143</v>
      </c>
      <c r="J167" s="118">
        <f>127.3+J156</f>
        <v>205.51238095238097</v>
      </c>
      <c r="K167" s="118">
        <f>6.65+K156</f>
        <v>8.3919047619047618</v>
      </c>
      <c r="L167" s="118">
        <f>306.94+L156</f>
        <v>451.89238095238096</v>
      </c>
      <c r="M167" s="118">
        <f>M166+M156</f>
        <v>0.62736507936507935</v>
      </c>
      <c r="N167" s="118">
        <v>48.633333333333333</v>
      </c>
      <c r="O167" s="118">
        <v>308.37190476190483</v>
      </c>
      <c r="P167" s="162"/>
      <c r="Q167" s="73"/>
      <c r="R167" s="73"/>
    </row>
    <row r="168" spans="1:18" s="75" customFormat="1">
      <c r="A168" s="172" t="s">
        <v>75</v>
      </c>
      <c r="B168" s="172"/>
      <c r="C168" s="172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73"/>
      <c r="Q168" s="73"/>
      <c r="R168" s="73"/>
    </row>
    <row r="169" spans="1:18" s="75" customFormat="1">
      <c r="A169" s="181" t="s">
        <v>90</v>
      </c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80"/>
      <c r="P169" s="162" t="s">
        <v>75</v>
      </c>
      <c r="Q169" s="73"/>
      <c r="R169" s="73"/>
    </row>
    <row r="170" spans="1:18" ht="26.45" customHeight="1">
      <c r="A170" s="98" t="s">
        <v>0</v>
      </c>
      <c r="B170" s="29">
        <v>2017</v>
      </c>
      <c r="C170" s="29">
        <v>173</v>
      </c>
      <c r="D170" s="37">
        <v>260</v>
      </c>
      <c r="E170" s="4">
        <v>10.29</v>
      </c>
      <c r="F170" s="4">
        <v>14.18</v>
      </c>
      <c r="G170" s="4">
        <v>27.39</v>
      </c>
      <c r="H170" s="4">
        <v>271.49</v>
      </c>
      <c r="I170" s="4">
        <v>196.42380952380952</v>
      </c>
      <c r="J170" s="4">
        <v>89.204761904761909</v>
      </c>
      <c r="K170" s="4">
        <v>1.7457142857142856</v>
      </c>
      <c r="L170" s="4">
        <v>82.172380952380962</v>
      </c>
      <c r="M170" s="4">
        <v>0.26</v>
      </c>
      <c r="N170" s="4">
        <v>0.65619047619047621</v>
      </c>
      <c r="O170" s="4">
        <v>21.877142857142861</v>
      </c>
      <c r="P170" s="162"/>
      <c r="Q170" s="9"/>
      <c r="R170" s="9"/>
    </row>
    <row r="171" spans="1:18">
      <c r="A171" s="111" t="s">
        <v>12</v>
      </c>
      <c r="B171" s="29">
        <v>2017</v>
      </c>
      <c r="C171" s="29">
        <v>15</v>
      </c>
      <c r="D171" s="14">
        <v>15</v>
      </c>
      <c r="E171" s="4">
        <v>3.48</v>
      </c>
      <c r="F171" s="4">
        <v>4.43</v>
      </c>
      <c r="G171" s="4">
        <v>0</v>
      </c>
      <c r="H171" s="4">
        <v>54.6</v>
      </c>
      <c r="I171" s="4">
        <v>132</v>
      </c>
      <c r="J171" s="4">
        <v>5.25</v>
      </c>
      <c r="K171" s="4">
        <v>0.15</v>
      </c>
      <c r="L171" s="4">
        <v>75</v>
      </c>
      <c r="M171" s="4">
        <v>0.01</v>
      </c>
      <c r="N171" s="4">
        <v>0.11</v>
      </c>
      <c r="O171" s="5">
        <v>39</v>
      </c>
      <c r="P171" s="162"/>
      <c r="Q171" s="9"/>
      <c r="R171" s="9"/>
    </row>
    <row r="172" spans="1:18">
      <c r="A172" s="111" t="s">
        <v>13</v>
      </c>
      <c r="B172" s="29" t="s">
        <v>80</v>
      </c>
      <c r="C172" s="29" t="s">
        <v>80</v>
      </c>
      <c r="D172" s="14">
        <v>60</v>
      </c>
      <c r="E172" s="4">
        <v>4.74</v>
      </c>
      <c r="F172" s="4">
        <v>0.6</v>
      </c>
      <c r="G172" s="4">
        <v>28.98</v>
      </c>
      <c r="H172" s="4">
        <v>140.28</v>
      </c>
      <c r="I172" s="4">
        <v>13.8</v>
      </c>
      <c r="J172" s="4">
        <v>19.8</v>
      </c>
      <c r="K172" s="4">
        <v>0.66</v>
      </c>
      <c r="L172" s="4">
        <v>52.2</v>
      </c>
      <c r="M172" s="4">
        <v>0.1</v>
      </c>
      <c r="N172" s="4">
        <v>0</v>
      </c>
      <c r="O172" s="5">
        <v>0</v>
      </c>
      <c r="P172" s="162"/>
      <c r="Q172" s="9"/>
      <c r="R172" s="9"/>
    </row>
    <row r="173" spans="1:18">
      <c r="A173" s="46" t="s">
        <v>43</v>
      </c>
      <c r="B173" s="54" t="s">
        <v>80</v>
      </c>
      <c r="C173" s="54" t="s">
        <v>80</v>
      </c>
      <c r="D173" s="58">
        <v>20</v>
      </c>
      <c r="E173" s="45">
        <v>0.38</v>
      </c>
      <c r="F173" s="45">
        <v>1.08</v>
      </c>
      <c r="G173" s="45">
        <v>6.41</v>
      </c>
      <c r="H173" s="45">
        <v>35.270000000000003</v>
      </c>
      <c r="I173" s="45">
        <v>8.1999999999999993</v>
      </c>
      <c r="J173" s="45">
        <v>3</v>
      </c>
      <c r="K173" s="45">
        <v>0.2</v>
      </c>
      <c r="L173" s="45">
        <v>17.399999999999999</v>
      </c>
      <c r="M173" s="45">
        <v>0.02</v>
      </c>
      <c r="N173" s="45">
        <v>0</v>
      </c>
      <c r="O173" s="47">
        <v>14.82</v>
      </c>
      <c r="P173" s="162"/>
      <c r="Q173" s="9"/>
      <c r="R173" s="9"/>
    </row>
    <row r="174" spans="1:18" s="1" customFormat="1" ht="14.45" customHeight="1">
      <c r="A174" s="16" t="s">
        <v>27</v>
      </c>
      <c r="B174" s="11">
        <v>2017</v>
      </c>
      <c r="C174" s="11">
        <v>379</v>
      </c>
      <c r="D174" s="14">
        <v>200</v>
      </c>
      <c r="E174" s="11">
        <v>3.6</v>
      </c>
      <c r="F174" s="11">
        <v>2.67</v>
      </c>
      <c r="G174" s="11">
        <v>29.2</v>
      </c>
      <c r="H174" s="11">
        <v>155.19999999999999</v>
      </c>
      <c r="I174" s="11">
        <v>158.66999999999999</v>
      </c>
      <c r="J174" s="11">
        <v>16.8</v>
      </c>
      <c r="K174" s="11">
        <v>0.22</v>
      </c>
      <c r="L174" s="11">
        <v>82.4</v>
      </c>
      <c r="M174" s="11">
        <v>7.0000000000000007E-2</v>
      </c>
      <c r="N174" s="11">
        <v>1.17</v>
      </c>
      <c r="O174" s="17">
        <v>6.84</v>
      </c>
      <c r="P174" s="162"/>
      <c r="Q174" s="3"/>
      <c r="R174" s="3"/>
    </row>
    <row r="175" spans="1:18">
      <c r="A175" s="108" t="s">
        <v>16</v>
      </c>
      <c r="B175" s="99"/>
      <c r="C175" s="99"/>
      <c r="D175" s="13">
        <v>555</v>
      </c>
      <c r="E175" s="13">
        <f>SUM(E170:E174)</f>
        <v>22.49</v>
      </c>
      <c r="F175" s="13">
        <f>SUM(F170:F174)</f>
        <v>22.96</v>
      </c>
      <c r="G175" s="13">
        <f>SUM(G170:G174)</f>
        <v>91.98</v>
      </c>
      <c r="H175" s="13">
        <f>SUM(H170:H174)</f>
        <v>656.83999999999992</v>
      </c>
      <c r="I175" s="13">
        <v>509.09380952380945</v>
      </c>
      <c r="J175" s="13">
        <v>134.0547619047619</v>
      </c>
      <c r="K175" s="13">
        <v>3.8176190476190479</v>
      </c>
      <c r="L175" s="13">
        <v>309.17238095238099</v>
      </c>
      <c r="M175" s="13">
        <v>0.44761904761904764</v>
      </c>
      <c r="N175" s="13">
        <f>SUM(N170:N174)</f>
        <v>1.9361904761904762</v>
      </c>
      <c r="O175" s="15">
        <f>SUM(O170:O174)</f>
        <v>82.537142857142868</v>
      </c>
      <c r="P175" s="162"/>
      <c r="Q175" s="9"/>
      <c r="R175" s="9"/>
    </row>
    <row r="176" spans="1:18" s="1" customFormat="1">
      <c r="A176" s="166" t="s">
        <v>91</v>
      </c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7"/>
      <c r="P176" s="162"/>
      <c r="Q176" s="3"/>
      <c r="R176" s="3"/>
    </row>
    <row r="177" spans="1:18" s="1" customFormat="1" ht="16.149999999999999" customHeight="1">
      <c r="A177" s="98" t="s">
        <v>72</v>
      </c>
      <c r="B177" s="29">
        <v>2017</v>
      </c>
      <c r="C177" s="29">
        <v>92</v>
      </c>
      <c r="D177" s="37">
        <v>260</v>
      </c>
      <c r="E177" s="4">
        <v>1.6375</v>
      </c>
      <c r="F177" s="4">
        <v>4.9175000000000004</v>
      </c>
      <c r="G177" s="4">
        <v>6.2725</v>
      </c>
      <c r="H177" s="4">
        <v>81.5</v>
      </c>
      <c r="I177" s="4">
        <v>47.325000000000003</v>
      </c>
      <c r="J177" s="4">
        <v>20.425000000000001</v>
      </c>
      <c r="K177" s="4">
        <v>0.77500000000000002</v>
      </c>
      <c r="L177" s="4">
        <v>44.274999999999999</v>
      </c>
      <c r="M177" s="4">
        <v>2.5000000000000001E-2</v>
      </c>
      <c r="N177" s="4">
        <v>6.0750000000000002</v>
      </c>
      <c r="O177" s="5">
        <v>0</v>
      </c>
      <c r="P177" s="162"/>
      <c r="Q177" s="3"/>
      <c r="R177" s="3"/>
    </row>
    <row r="178" spans="1:18" s="1" customFormat="1">
      <c r="A178" s="98" t="s">
        <v>17</v>
      </c>
      <c r="B178" s="29">
        <v>2017</v>
      </c>
      <c r="C178" s="29">
        <v>288</v>
      </c>
      <c r="D178" s="92">
        <v>10</v>
      </c>
      <c r="E178" s="4">
        <v>2.11</v>
      </c>
      <c r="F178" s="4">
        <v>1.36</v>
      </c>
      <c r="G178" s="4">
        <v>0</v>
      </c>
      <c r="H178" s="4">
        <v>20.67</v>
      </c>
      <c r="I178" s="4">
        <v>3.9</v>
      </c>
      <c r="J178" s="4">
        <v>2</v>
      </c>
      <c r="K178" s="4">
        <v>0.18</v>
      </c>
      <c r="L178" s="4">
        <v>14.3</v>
      </c>
      <c r="M178" s="4">
        <v>0.04</v>
      </c>
      <c r="N178" s="4">
        <v>0</v>
      </c>
      <c r="O178" s="5">
        <v>2.2799999999999998</v>
      </c>
      <c r="P178" s="162"/>
      <c r="Q178" s="3"/>
      <c r="R178" s="3"/>
    </row>
    <row r="179" spans="1:18" s="1" customFormat="1" ht="12.6" customHeight="1">
      <c r="A179" s="127" t="s">
        <v>31</v>
      </c>
      <c r="B179" s="10">
        <v>2017</v>
      </c>
      <c r="C179" s="10" t="s">
        <v>88</v>
      </c>
      <c r="D179" s="11">
        <v>100</v>
      </c>
      <c r="E179" s="4">
        <v>13.58</v>
      </c>
      <c r="F179" s="4">
        <v>10.58</v>
      </c>
      <c r="G179" s="4">
        <f>11.66*100/90</f>
        <v>12.955555555555556</v>
      </c>
      <c r="H179" s="4">
        <v>198.12</v>
      </c>
      <c r="I179" s="4">
        <v>182.08888888888799</v>
      </c>
      <c r="J179" s="4">
        <v>20.855555555555554</v>
      </c>
      <c r="K179" s="4">
        <v>1.2</v>
      </c>
      <c r="L179" s="4">
        <v>47.988888888888887</v>
      </c>
      <c r="M179" s="4">
        <v>0.1111111111111111</v>
      </c>
      <c r="N179" s="4">
        <v>0.1111111111111111</v>
      </c>
      <c r="O179" s="5">
        <v>268.5</v>
      </c>
      <c r="P179" s="162"/>
      <c r="Q179" s="3"/>
      <c r="R179" s="3"/>
    </row>
    <row r="180" spans="1:18" s="1" customFormat="1" ht="14.45" customHeight="1">
      <c r="A180" s="36" t="s">
        <v>52</v>
      </c>
      <c r="B180" s="11">
        <v>2017</v>
      </c>
      <c r="C180" s="11">
        <v>321</v>
      </c>
      <c r="D180" s="37">
        <v>200</v>
      </c>
      <c r="E180" s="4">
        <v>3.71</v>
      </c>
      <c r="F180" s="4">
        <f>6.48*200/150</f>
        <v>8.64</v>
      </c>
      <c r="G180" s="4">
        <f>34.52*200/150</f>
        <v>46.026666666666671</v>
      </c>
      <c r="H180" s="4">
        <v>265.2</v>
      </c>
      <c r="I180" s="4">
        <v>29.28</v>
      </c>
      <c r="J180" s="4">
        <v>58.653333333333336</v>
      </c>
      <c r="K180" s="4">
        <v>2.3066666666666666</v>
      </c>
      <c r="L180" s="4">
        <v>159.45333333333335</v>
      </c>
      <c r="M180" s="4">
        <v>0.30666666666666664</v>
      </c>
      <c r="N180" s="4">
        <v>42</v>
      </c>
      <c r="O180" s="5">
        <v>47.879999999999995</v>
      </c>
      <c r="P180" s="162"/>
      <c r="Q180" s="3"/>
      <c r="R180" s="3"/>
    </row>
    <row r="181" spans="1:18" s="1" customFormat="1" ht="14.45" customHeight="1">
      <c r="A181" s="98" t="s">
        <v>20</v>
      </c>
      <c r="B181" s="10">
        <v>2017</v>
      </c>
      <c r="C181" s="10">
        <v>71</v>
      </c>
      <c r="D181" s="102">
        <v>60</v>
      </c>
      <c r="E181" s="18">
        <v>2.16</v>
      </c>
      <c r="F181" s="18">
        <v>4.04</v>
      </c>
      <c r="G181" s="18">
        <v>1.01</v>
      </c>
      <c r="H181" s="18">
        <v>48.79</v>
      </c>
      <c r="I181" s="18">
        <v>13.8</v>
      </c>
      <c r="J181" s="18">
        <v>7</v>
      </c>
      <c r="K181" s="18">
        <v>0.42</v>
      </c>
      <c r="L181" s="18">
        <v>12</v>
      </c>
      <c r="M181" s="18">
        <v>0</v>
      </c>
      <c r="N181" s="18">
        <v>14.4</v>
      </c>
      <c r="O181" s="19">
        <v>0</v>
      </c>
      <c r="P181" s="162"/>
      <c r="Q181" s="3"/>
      <c r="R181" s="3"/>
    </row>
    <row r="182" spans="1:18" s="1" customFormat="1" ht="14.45" customHeight="1">
      <c r="A182" s="36" t="s">
        <v>54</v>
      </c>
      <c r="B182" s="11">
        <v>2017</v>
      </c>
      <c r="C182" s="11">
        <v>342</v>
      </c>
      <c r="D182" s="37">
        <v>200</v>
      </c>
      <c r="E182" s="4">
        <v>0.2</v>
      </c>
      <c r="F182" s="4">
        <v>0.2</v>
      </c>
      <c r="G182" s="4">
        <v>22.3</v>
      </c>
      <c r="H182" s="4">
        <v>110</v>
      </c>
      <c r="I182" s="4">
        <v>12</v>
      </c>
      <c r="J182" s="4">
        <v>0</v>
      </c>
      <c r="K182" s="4">
        <v>0.8</v>
      </c>
      <c r="L182" s="4">
        <v>2.4</v>
      </c>
      <c r="M182" s="4">
        <v>0.02</v>
      </c>
      <c r="N182" s="4">
        <v>0</v>
      </c>
      <c r="O182" s="5">
        <v>0</v>
      </c>
      <c r="P182" s="162"/>
      <c r="Q182" s="3"/>
      <c r="R182" s="3"/>
    </row>
    <row r="183" spans="1:18" s="1" customFormat="1">
      <c r="A183" s="98" t="s">
        <v>21</v>
      </c>
      <c r="B183" s="29" t="s">
        <v>80</v>
      </c>
      <c r="C183" s="29" t="s">
        <v>80</v>
      </c>
      <c r="D183" s="92">
        <v>20</v>
      </c>
      <c r="E183" s="4">
        <v>1.58</v>
      </c>
      <c r="F183" s="4">
        <v>0.2</v>
      </c>
      <c r="G183" s="4">
        <v>9.66</v>
      </c>
      <c r="H183" s="4">
        <v>46.76</v>
      </c>
      <c r="I183" s="4">
        <v>4.5999999999999996</v>
      </c>
      <c r="J183" s="4">
        <v>6.6</v>
      </c>
      <c r="K183" s="4">
        <v>0.22</v>
      </c>
      <c r="L183" s="4">
        <v>17.399999999999999</v>
      </c>
      <c r="M183" s="4">
        <v>0.08</v>
      </c>
      <c r="N183" s="4">
        <v>0</v>
      </c>
      <c r="O183" s="5">
        <v>0</v>
      </c>
      <c r="P183" s="162"/>
      <c r="Q183" s="3"/>
      <c r="R183" s="3"/>
    </row>
    <row r="184" spans="1:18" s="1" customFormat="1">
      <c r="A184" s="16" t="s">
        <v>22</v>
      </c>
      <c r="B184" s="32" t="s">
        <v>80</v>
      </c>
      <c r="C184" s="32" t="s">
        <v>80</v>
      </c>
      <c r="D184" s="106">
        <v>40</v>
      </c>
      <c r="E184" s="4">
        <v>2.2400000000000002</v>
      </c>
      <c r="F184" s="4">
        <v>0.44</v>
      </c>
      <c r="G184" s="4">
        <v>19.760000000000002</v>
      </c>
      <c r="H184" s="4">
        <v>91.96</v>
      </c>
      <c r="I184" s="4">
        <v>9.1999999999999993</v>
      </c>
      <c r="J184" s="4">
        <v>10</v>
      </c>
      <c r="K184" s="4">
        <v>1.24</v>
      </c>
      <c r="L184" s="4">
        <v>42.4</v>
      </c>
      <c r="M184" s="4">
        <v>0.04</v>
      </c>
      <c r="N184" s="4">
        <v>0</v>
      </c>
      <c r="O184" s="5">
        <v>0</v>
      </c>
      <c r="P184" s="162"/>
      <c r="Q184" s="3"/>
      <c r="R184" s="3"/>
    </row>
    <row r="185" spans="1:18">
      <c r="A185" s="108" t="s">
        <v>16</v>
      </c>
      <c r="B185" s="99"/>
      <c r="C185" s="99"/>
      <c r="D185" s="12">
        <f t="shared" ref="D185:O185" si="25">SUM(D177:D184)</f>
        <v>890</v>
      </c>
      <c r="E185" s="13">
        <f t="shared" si="25"/>
        <v>27.217500000000001</v>
      </c>
      <c r="F185" s="13">
        <f>SUM(F177:F184)</f>
        <v>30.377500000000001</v>
      </c>
      <c r="G185" s="13">
        <f>SUM(G177:G184)</f>
        <v>117.98472222222223</v>
      </c>
      <c r="H185" s="13">
        <f t="shared" si="25"/>
        <v>863</v>
      </c>
      <c r="I185" s="13">
        <f t="shared" si="25"/>
        <v>302.19388888888801</v>
      </c>
      <c r="J185" s="13">
        <f t="shared" si="25"/>
        <v>125.53388888888888</v>
      </c>
      <c r="K185" s="13">
        <f t="shared" si="25"/>
        <v>7.1416666666666666</v>
      </c>
      <c r="L185" s="13">
        <f t="shared" si="25"/>
        <v>340.21722222222218</v>
      </c>
      <c r="M185" s="13">
        <f t="shared" si="25"/>
        <v>0.62277777777777776</v>
      </c>
      <c r="N185" s="13">
        <f t="shared" si="25"/>
        <v>62.586111111111109</v>
      </c>
      <c r="O185" s="15">
        <f t="shared" si="25"/>
        <v>318.65999999999997</v>
      </c>
      <c r="P185" s="162"/>
      <c r="Q185" s="9"/>
      <c r="R185" s="9"/>
    </row>
    <row r="186" spans="1:18" s="75" customFormat="1">
      <c r="A186" s="115" t="s">
        <v>24</v>
      </c>
      <c r="B186" s="116"/>
      <c r="C186" s="116"/>
      <c r="D186" s="118">
        <f t="shared" ref="D186:O186" si="26">D185+D175</f>
        <v>1445</v>
      </c>
      <c r="E186" s="118">
        <f>E185+E175</f>
        <v>49.707499999999996</v>
      </c>
      <c r="F186" s="118">
        <f>F185+F175</f>
        <v>53.337500000000006</v>
      </c>
      <c r="G186" s="118">
        <f>G185+G175</f>
        <v>209.96472222222224</v>
      </c>
      <c r="H186" s="118">
        <f>H185+H175</f>
        <v>1519.84</v>
      </c>
      <c r="I186" s="118">
        <f t="shared" si="26"/>
        <v>811.28769841269741</v>
      </c>
      <c r="J186" s="118">
        <f t="shared" si="26"/>
        <v>259.5886507936508</v>
      </c>
      <c r="K186" s="118">
        <f t="shared" si="26"/>
        <v>10.959285714285715</v>
      </c>
      <c r="L186" s="118">
        <f t="shared" si="26"/>
        <v>649.38960317460317</v>
      </c>
      <c r="M186" s="118">
        <f t="shared" si="26"/>
        <v>1.0703968253968255</v>
      </c>
      <c r="N186" s="118">
        <f t="shared" si="26"/>
        <v>64.522301587301584</v>
      </c>
      <c r="O186" s="123">
        <f t="shared" si="26"/>
        <v>401.19714285714281</v>
      </c>
      <c r="P186" s="162"/>
      <c r="Q186" s="73"/>
      <c r="R186" s="73"/>
    </row>
    <row r="187" spans="1:18" s="75" customFormat="1" ht="12" customHeight="1">
      <c r="A187" s="172" t="s">
        <v>77</v>
      </c>
      <c r="B187" s="172"/>
      <c r="C187" s="172"/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34" t="s">
        <v>77</v>
      </c>
      <c r="Q187" s="73"/>
      <c r="R187" s="73"/>
    </row>
    <row r="188" spans="1:18" s="75" customFormat="1" ht="12" customHeight="1">
      <c r="A188" s="181" t="s">
        <v>93</v>
      </c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80"/>
      <c r="P188" s="135"/>
      <c r="Q188" s="73"/>
      <c r="R188" s="73"/>
    </row>
    <row r="189" spans="1:18" s="75" customFormat="1" ht="25.15" customHeight="1">
      <c r="A189" s="16" t="s">
        <v>42</v>
      </c>
      <c r="B189" s="10">
        <v>2017</v>
      </c>
      <c r="C189" s="25">
        <v>183</v>
      </c>
      <c r="D189" s="11">
        <v>260</v>
      </c>
      <c r="E189" s="4">
        <v>9.83</v>
      </c>
      <c r="F189" s="4">
        <f>11.58*250/200</f>
        <v>14.475</v>
      </c>
      <c r="G189" s="4">
        <f>7.86*250/200</f>
        <v>9.8249999999999993</v>
      </c>
      <c r="H189" s="4">
        <v>206.44</v>
      </c>
      <c r="I189" s="4">
        <v>239.81904761904761</v>
      </c>
      <c r="J189" s="4">
        <v>53.361904761904761</v>
      </c>
      <c r="K189" s="4">
        <v>1.6342857142857143</v>
      </c>
      <c r="L189" s="4">
        <v>182.86666666666667</v>
      </c>
      <c r="M189" s="4">
        <v>0.18571428571428572</v>
      </c>
      <c r="N189" s="4">
        <v>0</v>
      </c>
      <c r="O189" s="4">
        <v>28.228571428571428</v>
      </c>
      <c r="P189" s="135"/>
      <c r="Q189" s="73"/>
      <c r="R189" s="73"/>
    </row>
    <row r="190" spans="1:18" ht="16.149999999999999" customHeight="1">
      <c r="A190" s="111" t="s">
        <v>13</v>
      </c>
      <c r="B190" s="32" t="s">
        <v>80</v>
      </c>
      <c r="C190" s="32" t="s">
        <v>80</v>
      </c>
      <c r="D190" s="14">
        <v>60</v>
      </c>
      <c r="E190" s="4">
        <v>4.74</v>
      </c>
      <c r="F190" s="4">
        <v>0.6</v>
      </c>
      <c r="G190" s="4">
        <v>28.98</v>
      </c>
      <c r="H190" s="4">
        <v>140.28</v>
      </c>
      <c r="I190" s="4">
        <v>13.8</v>
      </c>
      <c r="J190" s="4">
        <v>19.8</v>
      </c>
      <c r="K190" s="4">
        <v>0.66</v>
      </c>
      <c r="L190" s="4">
        <v>52.2</v>
      </c>
      <c r="M190" s="4">
        <v>0.1</v>
      </c>
      <c r="N190" s="4">
        <v>0</v>
      </c>
      <c r="O190" s="5">
        <v>0</v>
      </c>
      <c r="P190" s="135"/>
      <c r="Q190" s="9"/>
      <c r="R190" s="9"/>
    </row>
    <row r="191" spans="1:18">
      <c r="A191" s="39" t="s">
        <v>50</v>
      </c>
      <c r="B191" s="14">
        <v>2017</v>
      </c>
      <c r="C191" s="38">
        <v>382</v>
      </c>
      <c r="D191" s="14">
        <v>200</v>
      </c>
      <c r="E191" s="4">
        <v>3.52</v>
      </c>
      <c r="F191" s="4">
        <v>3.72</v>
      </c>
      <c r="G191" s="4">
        <v>25.49</v>
      </c>
      <c r="H191" s="4">
        <v>145.19999999999999</v>
      </c>
      <c r="I191" s="4">
        <v>122</v>
      </c>
      <c r="J191" s="4">
        <v>14</v>
      </c>
      <c r="K191" s="4">
        <v>0.56000000000000005</v>
      </c>
      <c r="L191" s="4">
        <v>39</v>
      </c>
      <c r="M191" s="4">
        <v>0.04</v>
      </c>
      <c r="N191" s="4">
        <v>1.3</v>
      </c>
      <c r="O191" s="5">
        <v>1.1399999999999999E-2</v>
      </c>
      <c r="P191" s="135"/>
      <c r="Q191" s="9"/>
      <c r="R191" s="9"/>
    </row>
    <row r="192" spans="1:18">
      <c r="A192" s="31" t="s">
        <v>29</v>
      </c>
      <c r="B192" s="32" t="s">
        <v>80</v>
      </c>
      <c r="C192" s="32" t="s">
        <v>80</v>
      </c>
      <c r="D192" s="32">
        <v>30</v>
      </c>
      <c r="E192" s="11">
        <v>0.15</v>
      </c>
      <c r="F192" s="11">
        <v>0</v>
      </c>
      <c r="G192" s="11">
        <v>21.48</v>
      </c>
      <c r="H192" s="11">
        <v>86.52000000000001</v>
      </c>
      <c r="I192" s="11">
        <v>3.6</v>
      </c>
      <c r="J192" s="11">
        <v>2.7</v>
      </c>
      <c r="K192" s="11">
        <v>0.12</v>
      </c>
      <c r="L192" s="11">
        <v>5.4</v>
      </c>
      <c r="M192" s="11">
        <v>0</v>
      </c>
      <c r="N192" s="11">
        <v>0.72</v>
      </c>
      <c r="O192" s="17">
        <v>0</v>
      </c>
      <c r="P192" s="135"/>
      <c r="Q192" s="9"/>
      <c r="R192" s="9"/>
    </row>
    <row r="193" spans="1:18">
      <c r="A193" s="107" t="s">
        <v>16</v>
      </c>
      <c r="B193" s="96"/>
      <c r="C193" s="96"/>
      <c r="D193" s="20">
        <f t="shared" ref="D193" si="27">SUM(D189:D192)</f>
        <v>550</v>
      </c>
      <c r="E193" s="13">
        <f>SUM(E189:E192)</f>
        <v>18.239999999999998</v>
      </c>
      <c r="F193" s="13">
        <f>SUM(F189:F192)</f>
        <v>18.794999999999998</v>
      </c>
      <c r="G193" s="13">
        <f>SUM(G189:G192)</f>
        <v>85.775000000000006</v>
      </c>
      <c r="H193" s="13">
        <f>SUM(H189:H192)</f>
        <v>578.44000000000005</v>
      </c>
      <c r="I193" s="13">
        <f t="shared" ref="I193:O193" si="28">SUM(I189:I192)</f>
        <v>379.21904761904761</v>
      </c>
      <c r="J193" s="13">
        <f t="shared" si="28"/>
        <v>89.861904761904768</v>
      </c>
      <c r="K193" s="13">
        <f t="shared" si="28"/>
        <v>2.9742857142857146</v>
      </c>
      <c r="L193" s="13">
        <f t="shared" si="28"/>
        <v>279.46666666666664</v>
      </c>
      <c r="M193" s="13">
        <f t="shared" si="28"/>
        <v>0.32571428571428568</v>
      </c>
      <c r="N193" s="13">
        <f t="shared" si="28"/>
        <v>2.02</v>
      </c>
      <c r="O193" s="15">
        <f t="shared" si="28"/>
        <v>28.239971428571426</v>
      </c>
      <c r="P193" s="135"/>
      <c r="Q193" s="9"/>
      <c r="R193" s="9"/>
    </row>
    <row r="194" spans="1:18">
      <c r="A194" s="179" t="s">
        <v>91</v>
      </c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80"/>
      <c r="P194" s="135"/>
      <c r="Q194" s="9"/>
      <c r="R194" s="9"/>
    </row>
    <row r="195" spans="1:18" ht="14.45" customHeight="1">
      <c r="A195" s="36" t="s">
        <v>68</v>
      </c>
      <c r="B195" s="29">
        <v>2017</v>
      </c>
      <c r="C195" s="29">
        <v>97</v>
      </c>
      <c r="D195" s="103">
        <v>250</v>
      </c>
      <c r="E195" s="26">
        <v>2.3374999999999999</v>
      </c>
      <c r="F195" s="26">
        <v>2.8250000000000002</v>
      </c>
      <c r="G195" s="26">
        <v>16.637499999999999</v>
      </c>
      <c r="H195" s="26">
        <v>101.25</v>
      </c>
      <c r="I195" s="26">
        <v>25.85</v>
      </c>
      <c r="J195" s="26">
        <v>31.125</v>
      </c>
      <c r="K195" s="104">
        <v>1.175</v>
      </c>
      <c r="L195" s="11">
        <v>76.8</v>
      </c>
      <c r="M195" s="26">
        <v>0.11</v>
      </c>
      <c r="N195" s="26">
        <v>2</v>
      </c>
      <c r="O195" s="26">
        <v>0</v>
      </c>
      <c r="P195" s="135"/>
      <c r="Q195" s="9"/>
      <c r="R195" s="9"/>
    </row>
    <row r="196" spans="1:18" ht="14.45" customHeight="1">
      <c r="A196" s="16" t="s">
        <v>17</v>
      </c>
      <c r="B196" s="10">
        <v>2017</v>
      </c>
      <c r="C196" s="10">
        <v>228</v>
      </c>
      <c r="D196" s="32">
        <v>10</v>
      </c>
      <c r="E196" s="4">
        <v>2.11</v>
      </c>
      <c r="F196" s="4">
        <v>1.36</v>
      </c>
      <c r="G196" s="4">
        <v>0</v>
      </c>
      <c r="H196" s="4">
        <v>20.67</v>
      </c>
      <c r="I196" s="4">
        <v>3.9</v>
      </c>
      <c r="J196" s="4">
        <v>2</v>
      </c>
      <c r="K196" s="4">
        <v>0.18</v>
      </c>
      <c r="L196" s="4">
        <v>14.3</v>
      </c>
      <c r="M196" s="4">
        <v>0.04</v>
      </c>
      <c r="N196" s="4">
        <v>0</v>
      </c>
      <c r="O196" s="5">
        <v>2.2799999999999998</v>
      </c>
      <c r="P196" s="135"/>
      <c r="Q196" s="9"/>
      <c r="R196" s="9"/>
    </row>
    <row r="197" spans="1:18" ht="14.45" customHeight="1">
      <c r="A197" s="16" t="s">
        <v>45</v>
      </c>
      <c r="B197" s="29">
        <v>2017</v>
      </c>
      <c r="C197" s="10" t="s">
        <v>89</v>
      </c>
      <c r="D197" s="11">
        <v>100</v>
      </c>
      <c r="E197" s="4">
        <f>11.99*100/90</f>
        <v>13.322222222222223</v>
      </c>
      <c r="F197" s="4">
        <v>12.06</v>
      </c>
      <c r="G197" s="4">
        <f>8.67*100/90</f>
        <v>9.6333333333333329</v>
      </c>
      <c r="H197" s="4">
        <v>209.9</v>
      </c>
      <c r="I197" s="4">
        <v>208.11111111111111</v>
      </c>
      <c r="J197" s="4">
        <v>23.444444444444443</v>
      </c>
      <c r="K197" s="4">
        <v>0.65555555555555556</v>
      </c>
      <c r="L197" s="4">
        <v>86.333333333333329</v>
      </c>
      <c r="M197" s="4">
        <v>6.6666666666666666E-2</v>
      </c>
      <c r="N197" s="4">
        <v>0.91111111111111109</v>
      </c>
      <c r="O197" s="5">
        <v>329.05555555555554</v>
      </c>
      <c r="P197" s="135"/>
      <c r="Q197" s="9"/>
      <c r="R197" s="9"/>
    </row>
    <row r="198" spans="1:18" ht="14.45" customHeight="1">
      <c r="A198" s="111" t="s">
        <v>28</v>
      </c>
      <c r="B198" s="11">
        <v>2017</v>
      </c>
      <c r="C198" s="11">
        <v>304</v>
      </c>
      <c r="D198" s="11">
        <v>200</v>
      </c>
      <c r="E198" s="4">
        <f>3.67*200/150</f>
        <v>4.8933333333333335</v>
      </c>
      <c r="F198" s="4">
        <v>6.23</v>
      </c>
      <c r="G198" s="4">
        <v>44.89</v>
      </c>
      <c r="H198" s="4">
        <v>267.95999999999998</v>
      </c>
      <c r="I198" s="4">
        <v>26.36</v>
      </c>
      <c r="J198" s="4">
        <v>17.48</v>
      </c>
      <c r="K198" s="4">
        <v>0</v>
      </c>
      <c r="L198" s="4">
        <v>22</v>
      </c>
      <c r="M198" s="4">
        <v>0.06</v>
      </c>
      <c r="N198" s="4">
        <v>0</v>
      </c>
      <c r="O198" s="5">
        <v>0.2</v>
      </c>
      <c r="P198" s="135"/>
      <c r="Q198" s="9"/>
      <c r="R198" s="9"/>
    </row>
    <row r="199" spans="1:18" ht="14.45" customHeight="1">
      <c r="A199" s="16" t="s">
        <v>47</v>
      </c>
      <c r="B199" s="10">
        <v>2017</v>
      </c>
      <c r="C199" s="10">
        <v>47</v>
      </c>
      <c r="D199" s="32">
        <v>100</v>
      </c>
      <c r="E199" s="4">
        <v>1.7166666666666666</v>
      </c>
      <c r="F199" s="4">
        <v>5.0166666666666666</v>
      </c>
      <c r="G199" s="4">
        <v>8.4999999999999982</v>
      </c>
      <c r="H199" s="4">
        <v>86.033333333333331</v>
      </c>
      <c r="I199" s="4">
        <v>52.45</v>
      </c>
      <c r="J199" s="4">
        <v>16.083333333333332</v>
      </c>
      <c r="K199" s="4">
        <v>0.66666666666666663</v>
      </c>
      <c r="L199" s="4">
        <v>34.083333333333336</v>
      </c>
      <c r="M199" s="4">
        <v>1.6666666666666666E-2</v>
      </c>
      <c r="N199" s="4">
        <v>19.883333333333333</v>
      </c>
      <c r="O199" s="5">
        <v>0</v>
      </c>
      <c r="P199" s="135"/>
      <c r="Q199" s="9"/>
      <c r="R199" s="9"/>
    </row>
    <row r="200" spans="1:18" ht="14.45" customHeight="1">
      <c r="A200" s="16" t="s">
        <v>26</v>
      </c>
      <c r="B200" s="10">
        <v>2017</v>
      </c>
      <c r="C200" s="10">
        <v>377</v>
      </c>
      <c r="D200" s="11">
        <v>200</v>
      </c>
      <c r="E200" s="11">
        <v>0.13</v>
      </c>
      <c r="F200" s="11">
        <v>0.02</v>
      </c>
      <c r="G200" s="11">
        <v>10.25</v>
      </c>
      <c r="H200" s="11">
        <v>41.68</v>
      </c>
      <c r="I200" s="11">
        <v>14.05</v>
      </c>
      <c r="J200" s="11">
        <v>2.4</v>
      </c>
      <c r="K200" s="11">
        <v>0.38</v>
      </c>
      <c r="L200" s="11">
        <v>4.4000000000000004</v>
      </c>
      <c r="M200" s="11">
        <v>0</v>
      </c>
      <c r="N200" s="11">
        <v>2.83</v>
      </c>
      <c r="O200" s="17">
        <v>0</v>
      </c>
      <c r="P200" s="135"/>
      <c r="Q200" s="9"/>
      <c r="R200" s="9"/>
    </row>
    <row r="201" spans="1:18" ht="14.45" customHeight="1">
      <c r="A201" s="16" t="s">
        <v>21</v>
      </c>
      <c r="B201" s="10" t="s">
        <v>80</v>
      </c>
      <c r="C201" s="10" t="s">
        <v>80</v>
      </c>
      <c r="D201" s="32">
        <v>20</v>
      </c>
      <c r="E201" s="4">
        <v>1.58</v>
      </c>
      <c r="F201" s="4">
        <v>0.2</v>
      </c>
      <c r="G201" s="4">
        <v>9.66</v>
      </c>
      <c r="H201" s="4">
        <v>46.76</v>
      </c>
      <c r="I201" s="4">
        <v>4.5999999999999996</v>
      </c>
      <c r="J201" s="4">
        <v>6.6</v>
      </c>
      <c r="K201" s="4">
        <v>0.22</v>
      </c>
      <c r="L201" s="4">
        <v>17.399999999999999</v>
      </c>
      <c r="M201" s="4">
        <v>0.08</v>
      </c>
      <c r="N201" s="4">
        <v>0</v>
      </c>
      <c r="O201" s="5">
        <v>0</v>
      </c>
      <c r="P201" s="135"/>
      <c r="Q201" s="9"/>
      <c r="R201" s="9"/>
    </row>
    <row r="202" spans="1:18" ht="14.45" customHeight="1">
      <c r="A202" s="16" t="s">
        <v>22</v>
      </c>
      <c r="B202" s="10" t="s">
        <v>80</v>
      </c>
      <c r="C202" s="10" t="s">
        <v>80</v>
      </c>
      <c r="D202" s="10">
        <v>40</v>
      </c>
      <c r="E202" s="4">
        <v>2.2400000000000002</v>
      </c>
      <c r="F202" s="4">
        <v>0.44</v>
      </c>
      <c r="G202" s="4">
        <v>19.760000000000002</v>
      </c>
      <c r="H202" s="4">
        <v>91.96</v>
      </c>
      <c r="I202" s="4">
        <v>9.1999999999999993</v>
      </c>
      <c r="J202" s="4">
        <v>10</v>
      </c>
      <c r="K202" s="4">
        <v>1.24</v>
      </c>
      <c r="L202" s="4">
        <v>42.4</v>
      </c>
      <c r="M202" s="4">
        <v>0.04</v>
      </c>
      <c r="N202" s="4">
        <v>0</v>
      </c>
      <c r="O202" s="5">
        <v>0</v>
      </c>
      <c r="P202" s="135"/>
      <c r="Q202" s="9"/>
      <c r="R202" s="9"/>
    </row>
    <row r="203" spans="1:18" ht="14.45" customHeight="1">
      <c r="A203" s="108" t="s">
        <v>16</v>
      </c>
      <c r="B203" s="99"/>
      <c r="C203" s="99"/>
      <c r="D203" s="12">
        <v>880</v>
      </c>
      <c r="E203" s="13">
        <f>SUM(E195:E202)</f>
        <v>28.329722222222223</v>
      </c>
      <c r="F203" s="13">
        <f>SUM(F195:F202)</f>
        <v>28.151666666666667</v>
      </c>
      <c r="G203" s="13">
        <f>SUM(G195:G202)</f>
        <v>119.33083333333333</v>
      </c>
      <c r="H203" s="13">
        <f>SUM(H195:H202)</f>
        <v>866.21333333333325</v>
      </c>
      <c r="I203" s="13">
        <f t="shared" ref="I203:O203" si="29">SUM(I195:I202)</f>
        <v>344.52111111111111</v>
      </c>
      <c r="J203" s="13">
        <f t="shared" si="29"/>
        <v>109.13277777777778</v>
      </c>
      <c r="K203" s="13">
        <f t="shared" si="29"/>
        <v>4.5172222222222222</v>
      </c>
      <c r="L203" s="13">
        <f t="shared" si="29"/>
        <v>297.7166666666667</v>
      </c>
      <c r="M203" s="13">
        <f t="shared" si="29"/>
        <v>0.41333333333333333</v>
      </c>
      <c r="N203" s="13">
        <f t="shared" si="29"/>
        <v>25.624444444444443</v>
      </c>
      <c r="O203" s="15">
        <f t="shared" si="29"/>
        <v>331.5355555555555</v>
      </c>
      <c r="P203" s="135"/>
      <c r="Q203" s="9"/>
      <c r="R203" s="9"/>
    </row>
    <row r="204" spans="1:18" s="75" customFormat="1" ht="14.45" customHeight="1">
      <c r="A204" s="115" t="s">
        <v>24</v>
      </c>
      <c r="B204" s="116"/>
      <c r="C204" s="116"/>
      <c r="D204" s="117">
        <f t="shared" ref="D204:L204" si="30">D203+D193</f>
        <v>1430</v>
      </c>
      <c r="E204" s="118">
        <f t="shared" si="30"/>
        <v>46.569722222222225</v>
      </c>
      <c r="F204" s="118">
        <f t="shared" si="30"/>
        <v>46.946666666666665</v>
      </c>
      <c r="G204" s="118">
        <f t="shared" si="30"/>
        <v>205.10583333333335</v>
      </c>
      <c r="H204" s="118">
        <f t="shared" si="30"/>
        <v>1444.6533333333332</v>
      </c>
      <c r="I204" s="118">
        <f t="shared" si="30"/>
        <v>723.74015873015878</v>
      </c>
      <c r="J204" s="118">
        <f t="shared" si="30"/>
        <v>198.99468253968254</v>
      </c>
      <c r="K204" s="118">
        <f t="shared" si="30"/>
        <v>7.4915079365079364</v>
      </c>
      <c r="L204" s="118">
        <f t="shared" si="30"/>
        <v>577.18333333333339</v>
      </c>
      <c r="M204" s="118">
        <f t="shared" ref="M204" si="31">M203+M193</f>
        <v>0.73904761904761895</v>
      </c>
      <c r="N204" s="118">
        <f>N203+N193</f>
        <v>27.644444444444442</v>
      </c>
      <c r="O204" s="123">
        <f>O203+O193</f>
        <v>359.77552698412694</v>
      </c>
      <c r="P204" s="136"/>
      <c r="Q204" s="73"/>
      <c r="R204" s="73"/>
    </row>
    <row r="205" spans="1:18" s="75" customFormat="1" ht="14.45" customHeight="1">
      <c r="A205" s="172" t="s">
        <v>97</v>
      </c>
      <c r="B205" s="172"/>
      <c r="C205" s="172"/>
      <c r="D205" s="172"/>
      <c r="E205" s="172"/>
      <c r="F205" s="172"/>
      <c r="G205" s="172"/>
      <c r="H205" s="172"/>
      <c r="I205" s="172"/>
      <c r="J205" s="172"/>
      <c r="K205" s="172"/>
      <c r="L205" s="172"/>
      <c r="M205" s="172"/>
      <c r="N205" s="172"/>
      <c r="O205" s="172"/>
      <c r="P205" s="73"/>
      <c r="Q205" s="73"/>
      <c r="R205" s="73"/>
    </row>
    <row r="206" spans="1:18" s="75" customFormat="1" ht="14.45" customHeight="1">
      <c r="A206" s="181" t="s">
        <v>93</v>
      </c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80"/>
      <c r="P206" s="73"/>
      <c r="Q206" s="73"/>
      <c r="R206" s="73"/>
    </row>
    <row r="207" spans="1:18" ht="16.899999999999999" customHeight="1">
      <c r="A207" s="16" t="s">
        <v>49</v>
      </c>
      <c r="B207" s="29">
        <v>2017</v>
      </c>
      <c r="C207" s="29">
        <v>181</v>
      </c>
      <c r="D207" s="14">
        <v>260</v>
      </c>
      <c r="E207" s="4">
        <v>12.17</v>
      </c>
      <c r="F207" s="4">
        <v>6.71</v>
      </c>
      <c r="G207" s="4">
        <f>35.9*250/200</f>
        <v>44.875</v>
      </c>
      <c r="H207" s="4">
        <v>286.7</v>
      </c>
      <c r="I207" s="4">
        <v>250.30571428571426</v>
      </c>
      <c r="J207" s="4">
        <v>9.7809523809523817</v>
      </c>
      <c r="K207" s="4">
        <v>0.58190476190476181</v>
      </c>
      <c r="L207" s="4">
        <v>45.561904761904763</v>
      </c>
      <c r="M207" s="4">
        <v>4.9523809523809526E-2</v>
      </c>
      <c r="N207" s="4">
        <v>0</v>
      </c>
      <c r="O207" s="4">
        <v>65.459999999999994</v>
      </c>
      <c r="P207" s="162" t="s">
        <v>97</v>
      </c>
      <c r="Q207" s="9"/>
      <c r="R207" s="9"/>
    </row>
    <row r="208" spans="1:18" ht="13.15" customHeight="1">
      <c r="A208" s="36" t="s">
        <v>79</v>
      </c>
      <c r="B208" s="11">
        <v>3</v>
      </c>
      <c r="C208" s="11">
        <v>2017</v>
      </c>
      <c r="D208" s="14">
        <v>40</v>
      </c>
      <c r="E208" s="25">
        <v>4.9000000000000004</v>
      </c>
      <c r="F208" s="4">
        <v>11.55</v>
      </c>
      <c r="G208" s="4">
        <v>17.100000000000001</v>
      </c>
      <c r="H208" s="129">
        <v>193</v>
      </c>
      <c r="I208" s="4">
        <v>106</v>
      </c>
      <c r="J208" s="4">
        <v>4.8</v>
      </c>
      <c r="K208" s="4">
        <v>0.12</v>
      </c>
      <c r="L208" s="4">
        <v>0.09</v>
      </c>
      <c r="M208" s="4">
        <v>0.06</v>
      </c>
      <c r="N208" s="4">
        <v>0.11</v>
      </c>
      <c r="O208" s="4">
        <v>39</v>
      </c>
      <c r="P208" s="162"/>
      <c r="Q208" s="9"/>
      <c r="R208" s="9"/>
    </row>
    <row r="209" spans="1:18" ht="13.15" customHeight="1">
      <c r="A209" s="36" t="s">
        <v>14</v>
      </c>
      <c r="B209" s="30">
        <v>2017</v>
      </c>
      <c r="C209" s="30">
        <v>376</v>
      </c>
      <c r="D209" s="37">
        <v>200</v>
      </c>
      <c r="E209" s="4">
        <v>0.2</v>
      </c>
      <c r="F209" s="4">
        <v>0</v>
      </c>
      <c r="G209" s="4">
        <v>14</v>
      </c>
      <c r="H209" s="4">
        <v>28</v>
      </c>
      <c r="I209" s="4">
        <v>6</v>
      </c>
      <c r="J209" s="4">
        <v>0</v>
      </c>
      <c r="K209" s="4">
        <v>0.4</v>
      </c>
      <c r="L209" s="4">
        <v>0</v>
      </c>
      <c r="M209" s="4">
        <v>0</v>
      </c>
      <c r="N209" s="4">
        <v>0</v>
      </c>
      <c r="O209" s="4">
        <v>0</v>
      </c>
      <c r="P209" s="162"/>
      <c r="Q209" s="9"/>
      <c r="R209" s="9"/>
    </row>
    <row r="210" spans="1:18" ht="13.15" customHeight="1">
      <c r="A210" s="111" t="s">
        <v>63</v>
      </c>
      <c r="B210" s="11">
        <v>2017</v>
      </c>
      <c r="C210" s="11">
        <v>338</v>
      </c>
      <c r="D210" s="14">
        <v>100</v>
      </c>
      <c r="E210" s="4">
        <v>0.9</v>
      </c>
      <c r="F210" s="4">
        <v>0.2</v>
      </c>
      <c r="G210" s="4">
        <v>8.1</v>
      </c>
      <c r="H210" s="4">
        <v>37.799999999999997</v>
      </c>
      <c r="I210" s="4">
        <v>34</v>
      </c>
      <c r="J210" s="4">
        <v>13</v>
      </c>
      <c r="K210" s="4">
        <v>0.3</v>
      </c>
      <c r="L210" s="4">
        <v>18.329999999999998</v>
      </c>
      <c r="M210" s="4">
        <v>0.04</v>
      </c>
      <c r="N210" s="4">
        <v>26</v>
      </c>
      <c r="O210" s="4">
        <v>0</v>
      </c>
      <c r="P210" s="162"/>
      <c r="Q210" s="9"/>
      <c r="R210" s="9"/>
    </row>
    <row r="211" spans="1:18" ht="12" customHeight="1">
      <c r="A211" s="108" t="s">
        <v>16</v>
      </c>
      <c r="B211" s="99"/>
      <c r="C211" s="99"/>
      <c r="D211" s="12">
        <v>600</v>
      </c>
      <c r="E211" s="13">
        <f t="shared" ref="E211:O211" si="32">SUM(E207:E210)</f>
        <v>18.169999999999998</v>
      </c>
      <c r="F211" s="13">
        <f t="shared" si="32"/>
        <v>18.46</v>
      </c>
      <c r="G211" s="13">
        <f t="shared" si="32"/>
        <v>84.074999999999989</v>
      </c>
      <c r="H211" s="13">
        <f t="shared" si="32"/>
        <v>545.5</v>
      </c>
      <c r="I211" s="13">
        <f t="shared" si="32"/>
        <v>396.30571428571426</v>
      </c>
      <c r="J211" s="13">
        <f t="shared" si="32"/>
        <v>27.580952380952382</v>
      </c>
      <c r="K211" s="13">
        <f t="shared" si="32"/>
        <v>1.4019047619047618</v>
      </c>
      <c r="L211" s="13">
        <f t="shared" si="32"/>
        <v>63.981904761904765</v>
      </c>
      <c r="M211" s="13">
        <f t="shared" si="32"/>
        <v>0.14952380952380953</v>
      </c>
      <c r="N211" s="13">
        <f t="shared" si="32"/>
        <v>26.11</v>
      </c>
      <c r="O211" s="13">
        <f t="shared" si="32"/>
        <v>104.46</v>
      </c>
      <c r="P211" s="162"/>
      <c r="Q211" s="9"/>
      <c r="R211" s="9"/>
    </row>
    <row r="212" spans="1:18" s="75" customFormat="1">
      <c r="A212" s="173" t="s">
        <v>91</v>
      </c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5"/>
      <c r="P212" s="162"/>
      <c r="Q212" s="73"/>
      <c r="R212" s="73"/>
    </row>
    <row r="213" spans="1:18">
      <c r="A213" s="16" t="s">
        <v>44</v>
      </c>
      <c r="B213" s="10">
        <v>2017</v>
      </c>
      <c r="C213" s="35">
        <v>96</v>
      </c>
      <c r="D213" s="11">
        <v>260</v>
      </c>
      <c r="E213" s="4">
        <f>2.48*250/200</f>
        <v>3.1</v>
      </c>
      <c r="F213" s="4">
        <v>8.2799999999999994</v>
      </c>
      <c r="G213" s="4">
        <f>24.08*250/200</f>
        <v>30.1</v>
      </c>
      <c r="H213" s="4">
        <v>199.79</v>
      </c>
      <c r="I213" s="4">
        <v>26.198095238095238</v>
      </c>
      <c r="J213" s="4">
        <v>25.653333333333332</v>
      </c>
      <c r="K213" s="4">
        <v>0.96571428571428575</v>
      </c>
      <c r="L213" s="4">
        <v>71.264761904761912</v>
      </c>
      <c r="M213" s="4">
        <v>9.9047619047619051E-2</v>
      </c>
      <c r="N213" s="4">
        <v>7.4657142857142853</v>
      </c>
      <c r="O213" s="5">
        <v>0</v>
      </c>
      <c r="P213" s="162"/>
      <c r="Q213" s="9"/>
      <c r="R213" s="9"/>
    </row>
    <row r="214" spans="1:18">
      <c r="A214" s="16" t="s">
        <v>17</v>
      </c>
      <c r="B214" s="10">
        <v>2017</v>
      </c>
      <c r="C214" s="10">
        <v>288</v>
      </c>
      <c r="D214" s="32">
        <v>10</v>
      </c>
      <c r="E214" s="4">
        <v>2.11</v>
      </c>
      <c r="F214" s="4">
        <v>1.36</v>
      </c>
      <c r="G214" s="4">
        <v>0</v>
      </c>
      <c r="H214" s="4">
        <v>20.67</v>
      </c>
      <c r="I214" s="4">
        <v>3.9</v>
      </c>
      <c r="J214" s="4">
        <v>2</v>
      </c>
      <c r="K214" s="4">
        <v>0.18</v>
      </c>
      <c r="L214" s="4">
        <v>14.3</v>
      </c>
      <c r="M214" s="4">
        <v>0.04</v>
      </c>
      <c r="N214" s="4">
        <v>0</v>
      </c>
      <c r="O214" s="4">
        <v>2.2799999999999998</v>
      </c>
      <c r="P214" s="162"/>
      <c r="Q214" s="9"/>
      <c r="R214" s="9"/>
    </row>
    <row r="215" spans="1:18">
      <c r="A215" s="16" t="s">
        <v>18</v>
      </c>
      <c r="B215" s="10">
        <v>2017</v>
      </c>
      <c r="C215" s="10">
        <v>255</v>
      </c>
      <c r="D215" s="32">
        <v>100</v>
      </c>
      <c r="E215" s="4">
        <v>10.130000000000001</v>
      </c>
      <c r="F215" s="4">
        <v>11.23</v>
      </c>
      <c r="G215" s="4">
        <v>3.9</v>
      </c>
      <c r="H215" s="4">
        <v>163.41999999999999</v>
      </c>
      <c r="I215" s="4">
        <v>38.24</v>
      </c>
      <c r="J215" s="4">
        <v>17.47</v>
      </c>
      <c r="K215" s="4">
        <v>4.7444444444444436</v>
      </c>
      <c r="L215" s="4">
        <v>239.32</v>
      </c>
      <c r="M215" s="4">
        <v>0.2</v>
      </c>
      <c r="N215" s="4">
        <v>4.12</v>
      </c>
      <c r="O215" s="5">
        <v>366.51</v>
      </c>
      <c r="P215" s="162"/>
      <c r="Q215" s="9"/>
      <c r="R215" s="9"/>
    </row>
    <row r="216" spans="1:18">
      <c r="A216" s="111" t="s">
        <v>39</v>
      </c>
      <c r="B216" s="11">
        <v>2017</v>
      </c>
      <c r="C216" s="11">
        <v>202</v>
      </c>
      <c r="D216" s="22">
        <v>200</v>
      </c>
      <c r="E216" s="18">
        <v>7.36</v>
      </c>
      <c r="F216" s="18">
        <v>6.0266666666666655</v>
      </c>
      <c r="G216" s="18">
        <v>35.266666666666666</v>
      </c>
      <c r="H216" s="18">
        <v>224.6</v>
      </c>
      <c r="I216" s="18">
        <v>6.48</v>
      </c>
      <c r="J216" s="18">
        <v>28.16</v>
      </c>
      <c r="K216" s="18">
        <v>1.4800000000000002</v>
      </c>
      <c r="L216" s="18">
        <v>49.56</v>
      </c>
      <c r="M216" s="18">
        <v>0.08</v>
      </c>
      <c r="N216" s="18">
        <v>0</v>
      </c>
      <c r="O216" s="18">
        <v>96.33</v>
      </c>
      <c r="P216" s="162"/>
      <c r="Q216" s="9"/>
      <c r="R216" s="9"/>
    </row>
    <row r="217" spans="1:18">
      <c r="A217" s="111" t="s">
        <v>32</v>
      </c>
      <c r="B217" s="11">
        <v>2017</v>
      </c>
      <c r="C217" s="11">
        <v>45</v>
      </c>
      <c r="D217" s="11">
        <v>100</v>
      </c>
      <c r="E217" s="4">
        <v>1.54</v>
      </c>
      <c r="F217" s="4">
        <v>0.11</v>
      </c>
      <c r="G217" s="4">
        <v>10.91</v>
      </c>
      <c r="H217" s="4">
        <v>48.12</v>
      </c>
      <c r="I217" s="4">
        <v>104.64</v>
      </c>
      <c r="J217" s="4">
        <v>19.09</v>
      </c>
      <c r="K217" s="4">
        <v>0.73</v>
      </c>
      <c r="L217" s="4">
        <v>35.380000000000003</v>
      </c>
      <c r="M217" s="4">
        <v>0.03</v>
      </c>
      <c r="N217" s="4">
        <v>13.49</v>
      </c>
      <c r="O217" s="4">
        <v>9.09</v>
      </c>
      <c r="P217" s="162"/>
      <c r="Q217" s="9"/>
      <c r="R217" s="9"/>
    </row>
    <row r="218" spans="1:18" ht="14.45" customHeight="1">
      <c r="A218" s="16" t="s">
        <v>23</v>
      </c>
      <c r="B218" s="10">
        <v>2017</v>
      </c>
      <c r="C218" s="10">
        <v>349</v>
      </c>
      <c r="D218" s="10">
        <v>200</v>
      </c>
      <c r="E218" s="4">
        <v>0.04</v>
      </c>
      <c r="F218" s="4">
        <v>0</v>
      </c>
      <c r="G218" s="4">
        <v>24.76</v>
      </c>
      <c r="H218" s="4">
        <v>94.2</v>
      </c>
      <c r="I218" s="4">
        <v>6.4</v>
      </c>
      <c r="J218" s="4">
        <v>0</v>
      </c>
      <c r="K218" s="4">
        <v>0.18</v>
      </c>
      <c r="L218" s="4">
        <v>3.6</v>
      </c>
      <c r="M218" s="4">
        <v>0.01</v>
      </c>
      <c r="N218" s="4">
        <v>1.08</v>
      </c>
      <c r="O218" s="4">
        <v>0</v>
      </c>
      <c r="P218" s="162"/>
      <c r="Q218" s="9"/>
      <c r="R218" s="9"/>
    </row>
    <row r="219" spans="1:18">
      <c r="A219" s="16" t="s">
        <v>21</v>
      </c>
      <c r="B219" s="10" t="s">
        <v>80</v>
      </c>
      <c r="C219" s="10" t="s">
        <v>80</v>
      </c>
      <c r="D219" s="32">
        <v>20</v>
      </c>
      <c r="E219" s="4">
        <v>1.58</v>
      </c>
      <c r="F219" s="4">
        <v>0.2</v>
      </c>
      <c r="G219" s="4">
        <v>9.66</v>
      </c>
      <c r="H219" s="4">
        <v>46.76</v>
      </c>
      <c r="I219" s="4">
        <v>4.5999999999999996</v>
      </c>
      <c r="J219" s="4">
        <v>6.6</v>
      </c>
      <c r="K219" s="4">
        <v>0.22</v>
      </c>
      <c r="L219" s="4">
        <v>17.399999999999999</v>
      </c>
      <c r="M219" s="4">
        <v>0.08</v>
      </c>
      <c r="N219" s="4">
        <v>0</v>
      </c>
      <c r="O219" s="4">
        <v>0</v>
      </c>
      <c r="P219" s="162"/>
      <c r="Q219" s="9"/>
      <c r="R219" s="9"/>
    </row>
    <row r="220" spans="1:18">
      <c r="A220" s="16" t="s">
        <v>22</v>
      </c>
      <c r="B220" s="10" t="s">
        <v>80</v>
      </c>
      <c r="C220" s="10" t="s">
        <v>80</v>
      </c>
      <c r="D220" s="10">
        <v>40</v>
      </c>
      <c r="E220" s="4">
        <v>2.2400000000000002</v>
      </c>
      <c r="F220" s="4">
        <v>0.44</v>
      </c>
      <c r="G220" s="4">
        <v>19.760000000000002</v>
      </c>
      <c r="H220" s="4">
        <v>91.96</v>
      </c>
      <c r="I220" s="4">
        <v>9.1999999999999993</v>
      </c>
      <c r="J220" s="4">
        <v>10</v>
      </c>
      <c r="K220" s="4">
        <v>1.24</v>
      </c>
      <c r="L220" s="4">
        <v>42.4</v>
      </c>
      <c r="M220" s="4">
        <v>0.04</v>
      </c>
      <c r="N220" s="4">
        <v>0</v>
      </c>
      <c r="O220" s="4">
        <v>0</v>
      </c>
      <c r="P220" s="162"/>
      <c r="Q220" s="9"/>
      <c r="R220" s="9"/>
    </row>
    <row r="221" spans="1:18">
      <c r="A221" s="108" t="s">
        <v>16</v>
      </c>
      <c r="B221" s="99"/>
      <c r="C221" s="99"/>
      <c r="D221" s="12">
        <v>930</v>
      </c>
      <c r="E221" s="13">
        <f>SUM(E213:E220)</f>
        <v>28.1</v>
      </c>
      <c r="F221" s="13">
        <f>SUM(F213:F220)</f>
        <v>27.646666666666661</v>
      </c>
      <c r="G221" s="13">
        <f>SUM(G213:G220)</f>
        <v>134.35666666666665</v>
      </c>
      <c r="H221" s="13">
        <f>SUM(H213:H220)</f>
        <v>889.5200000000001</v>
      </c>
      <c r="I221" s="13">
        <f t="shared" ref="I221:O221" si="33">SUM(I213:I220)</f>
        <v>199.65809523809523</v>
      </c>
      <c r="J221" s="13">
        <f t="shared" si="33"/>
        <v>108.97333333333333</v>
      </c>
      <c r="K221" s="13">
        <f t="shared" si="33"/>
        <v>9.7401587301587309</v>
      </c>
      <c r="L221" s="13">
        <f t="shared" si="33"/>
        <v>473.22476190476186</v>
      </c>
      <c r="M221" s="13">
        <f t="shared" si="33"/>
        <v>0.57904761904761903</v>
      </c>
      <c r="N221" s="13">
        <f t="shared" si="33"/>
        <v>26.155714285714282</v>
      </c>
      <c r="O221" s="13">
        <f t="shared" si="33"/>
        <v>474.20999999999992</v>
      </c>
      <c r="P221" s="162"/>
      <c r="Q221" s="9"/>
      <c r="R221" s="9"/>
    </row>
    <row r="222" spans="1:18" s="75" customFormat="1">
      <c r="A222" s="115" t="s">
        <v>24</v>
      </c>
      <c r="B222" s="116"/>
      <c r="C222" s="116"/>
      <c r="D222" s="117">
        <f t="shared" ref="D222:O222" si="34">D221+D211</f>
        <v>1530</v>
      </c>
      <c r="E222" s="118">
        <f t="shared" si="34"/>
        <v>46.269999999999996</v>
      </c>
      <c r="F222" s="118">
        <f t="shared" si="34"/>
        <v>46.106666666666662</v>
      </c>
      <c r="G222" s="118">
        <f t="shared" si="34"/>
        <v>218.43166666666664</v>
      </c>
      <c r="H222" s="118">
        <f t="shared" si="34"/>
        <v>1435.02</v>
      </c>
      <c r="I222" s="118">
        <f t="shared" si="34"/>
        <v>595.96380952380946</v>
      </c>
      <c r="J222" s="118">
        <f t="shared" si="34"/>
        <v>136.5542857142857</v>
      </c>
      <c r="K222" s="118">
        <f t="shared" si="34"/>
        <v>11.142063492063492</v>
      </c>
      <c r="L222" s="118">
        <f t="shared" si="34"/>
        <v>537.20666666666659</v>
      </c>
      <c r="M222" s="118">
        <f t="shared" si="34"/>
        <v>0.72857142857142854</v>
      </c>
      <c r="N222" s="118">
        <f t="shared" si="34"/>
        <v>52.265714285714282</v>
      </c>
      <c r="O222" s="118">
        <f t="shared" si="34"/>
        <v>578.66999999999996</v>
      </c>
      <c r="P222" s="162"/>
      <c r="Q222" s="73"/>
      <c r="R222" s="73"/>
    </row>
    <row r="223" spans="1:18" s="75" customFormat="1">
      <c r="A223" s="119" t="s">
        <v>94</v>
      </c>
      <c r="B223" s="120"/>
      <c r="C223" s="120"/>
      <c r="D223" s="121">
        <f t="shared" ref="D223:O223" si="35">(D222+D204+D186+D167+D149+D132)/6</f>
        <v>1464.1666666666667</v>
      </c>
      <c r="E223" s="121">
        <f t="shared" si="35"/>
        <v>47.771055555555556</v>
      </c>
      <c r="F223" s="121">
        <f t="shared" si="35"/>
        <v>49.4874537037037</v>
      </c>
      <c r="G223" s="121">
        <f t="shared" si="35"/>
        <v>217.2753888888889</v>
      </c>
      <c r="H223" s="121">
        <f t="shared" si="35"/>
        <v>1484.7090211640214</v>
      </c>
      <c r="I223" s="122">
        <f t="shared" si="35"/>
        <v>608.18543121693108</v>
      </c>
      <c r="J223" s="122">
        <f t="shared" si="35"/>
        <v>188.80333862433864</v>
      </c>
      <c r="K223" s="122">
        <f t="shared" si="35"/>
        <v>9.5489616402116404</v>
      </c>
      <c r="L223" s="122">
        <f t="shared" si="35"/>
        <v>588.31187830687816</v>
      </c>
      <c r="M223" s="122">
        <f t="shared" si="35"/>
        <v>0.79505026455026451</v>
      </c>
      <c r="N223" s="122">
        <f t="shared" si="35"/>
        <v>44.114186507936502</v>
      </c>
      <c r="O223" s="122">
        <f t="shared" si="35"/>
        <v>409.16977940287217</v>
      </c>
      <c r="P223" s="73"/>
      <c r="Q223" s="73"/>
      <c r="R223" s="73"/>
    </row>
    <row r="224" spans="1:18" s="75" customFormat="1">
      <c r="A224" s="119" t="s">
        <v>98</v>
      </c>
      <c r="B224" s="28"/>
      <c r="C224" s="28"/>
      <c r="D224" s="121">
        <v>1468.3333333333335</v>
      </c>
      <c r="E224" s="121">
        <v>47.630953042328045</v>
      </c>
      <c r="F224" s="121">
        <v>49.899206349206352</v>
      </c>
      <c r="G224" s="121">
        <v>212.60038888888892</v>
      </c>
      <c r="H224" s="121">
        <v>1475.3010152116403</v>
      </c>
      <c r="I224" s="121">
        <v>614.70184193121679</v>
      </c>
      <c r="J224" s="121">
        <v>187.8777791005291</v>
      </c>
      <c r="K224" s="121">
        <v>10.160080026455027</v>
      </c>
      <c r="L224" s="121">
        <v>648.29046097883588</v>
      </c>
      <c r="M224" s="121">
        <v>0.78752513227513221</v>
      </c>
      <c r="N224" s="121">
        <v>42.587658730158722</v>
      </c>
      <c r="O224" s="121">
        <v>433.70417634164767</v>
      </c>
      <c r="P224" s="73"/>
      <c r="Q224" s="73"/>
      <c r="R224" s="73"/>
    </row>
    <row r="225" spans="1:18" s="75" customFormat="1" ht="15" customHeight="1">
      <c r="A225" s="159" t="s">
        <v>101</v>
      </c>
      <c r="B225" s="159"/>
      <c r="C225" s="159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73"/>
      <c r="R225" s="73"/>
    </row>
  </sheetData>
  <mergeCells count="57">
    <mergeCell ref="A212:O212"/>
    <mergeCell ref="P207:P222"/>
    <mergeCell ref="P98:P114"/>
    <mergeCell ref="A187:O187"/>
    <mergeCell ref="P187:P204"/>
    <mergeCell ref="A188:O188"/>
    <mergeCell ref="A194:O194"/>
    <mergeCell ref="A150:O150"/>
    <mergeCell ref="A168:O168"/>
    <mergeCell ref="A205:O205"/>
    <mergeCell ref="A206:O206"/>
    <mergeCell ref="A151:O151"/>
    <mergeCell ref="A157:O157"/>
    <mergeCell ref="A133:O133"/>
    <mergeCell ref="A169:O169"/>
    <mergeCell ref="P169:P186"/>
    <mergeCell ref="A8:O8"/>
    <mergeCell ref="A15:O15"/>
    <mergeCell ref="A27:O27"/>
    <mergeCell ref="A33:O33"/>
    <mergeCell ref="A45:O45"/>
    <mergeCell ref="A44:O44"/>
    <mergeCell ref="P28:P43"/>
    <mergeCell ref="P46:P60"/>
    <mergeCell ref="A26:O26"/>
    <mergeCell ref="A51:O51"/>
    <mergeCell ref="A62:O62"/>
    <mergeCell ref="A61:O61"/>
    <mergeCell ref="A140:O140"/>
    <mergeCell ref="P151:P167"/>
    <mergeCell ref="P63:P78"/>
    <mergeCell ref="P81:P96"/>
    <mergeCell ref="A117:O117"/>
    <mergeCell ref="A97:O97"/>
    <mergeCell ref="A98:O98"/>
    <mergeCell ref="A79:O79"/>
    <mergeCell ref="A116:O116"/>
    <mergeCell ref="A80:O80"/>
    <mergeCell ref="A68:O68"/>
    <mergeCell ref="A104:O104"/>
    <mergeCell ref="A86:O86"/>
    <mergeCell ref="A1:P4"/>
    <mergeCell ref="A225:P225"/>
    <mergeCell ref="A5:A6"/>
    <mergeCell ref="B5:B6"/>
    <mergeCell ref="C5:C6"/>
    <mergeCell ref="D5:D6"/>
    <mergeCell ref="E5:H5"/>
    <mergeCell ref="I5:L5"/>
    <mergeCell ref="M5:O5"/>
    <mergeCell ref="P7:P25"/>
    <mergeCell ref="A7:O7"/>
    <mergeCell ref="A176:O176"/>
    <mergeCell ref="P135:P149"/>
    <mergeCell ref="P118:P132"/>
    <mergeCell ref="A134:O134"/>
    <mergeCell ref="A123:O123"/>
  </mergeCells>
  <pageMargins left="0.51181102362204722" right="0.31496062992125984" top="0.27559055118110237" bottom="0.27559055118110237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7-11</vt:lpstr>
      <vt:lpstr>12-18</vt:lpstr>
      <vt:lpstr>'12-18'!Область_печати</vt:lpstr>
      <vt:lpstr>'7-11'!Область_печати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2026-04-20T07:28:18Z</dcterms:modified>
</cp:coreProperties>
</file>